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rio.wibowo\OneDrive\DATA BAGIAN PENGADAAN\Bagus Wibowo\BM 2022\03. Tender\Pengadaan Pembangunan AULA\Gambar, RKS Teknis, BQ, RAB, Soil Test. IRK, K3 final\"/>
    </mc:Choice>
  </mc:AlternateContent>
  <bookViews>
    <workbookView xWindow="0" yWindow="0" windowWidth="10680" windowHeight="9600" firstSheet="1" activeTab="1"/>
  </bookViews>
  <sheets>
    <sheet name="REKAP BOQ" sheetId="16" r:id="rId1"/>
    <sheet name="BQ ARSITEKTUR &amp; STRUKTUR" sheetId="15" r:id="rId2"/>
    <sheet name="BQ ELEKTRIKAL" sheetId="3" r:id="rId3"/>
    <sheet name="BQ PLUMBING HYDRANT DAN TATA S" sheetId="6" r:id="rId4"/>
    <sheet name="VAC" sheetId="10" state="hidden" r:id="rId5"/>
  </sheets>
  <externalReferences>
    <externalReference r:id="rId6"/>
    <externalReference r:id="rId7"/>
    <externalReference r:id="rId8"/>
  </externalReferences>
  <definedNames>
    <definedName name="_xlnm.Print_Area" localSheetId="1">'BQ ARSITEKTUR &amp; STRUKTUR'!$B$1:$H$205</definedName>
    <definedName name="_xlnm.Print_Area" localSheetId="2">'BQ ELEKTRIKAL'!$B$1:$I$151</definedName>
    <definedName name="_xlnm.Print_Area" localSheetId="3">'BQ PLUMBING HYDRANT DAN TATA S'!$B$1:$J$148</definedName>
    <definedName name="_xlnm.Print_Area" localSheetId="0">'REKAP BOQ'!$B$1:$H$54</definedName>
    <definedName name="_xlnm.Print_Titles" localSheetId="1">'BQ ARSITEKTUR &amp; STRUKTUR'!$8:$11</definedName>
    <definedName name="_xlnm.Print_Titles" localSheetId="2">'BQ ELEKTRIKAL'!$9:$10</definedName>
    <definedName name="_xlnm.Print_Titles" localSheetId="3">'BQ PLUMBING HYDRANT DAN TATA S'!$9:$10</definedName>
  </definedNames>
  <calcPr calcId="162913"/>
</workbook>
</file>

<file path=xl/calcChain.xml><?xml version="1.0" encoding="utf-8"?>
<calcChain xmlns="http://schemas.openxmlformats.org/spreadsheetml/2006/main">
  <c r="F201" i="15" l="1"/>
  <c r="F202" i="15" s="1"/>
  <c r="F184" i="15"/>
  <c r="F183" i="15"/>
  <c r="F185" i="15" s="1"/>
  <c r="F180" i="15"/>
  <c r="F174" i="15"/>
  <c r="F173" i="15"/>
  <c r="F175" i="15" s="1"/>
  <c r="F170" i="15"/>
  <c r="F167" i="15"/>
  <c r="F166" i="15"/>
  <c r="F165" i="15"/>
  <c r="F164" i="15"/>
  <c r="F163" i="15"/>
  <c r="F162" i="15"/>
  <c r="F158" i="15"/>
  <c r="F157" i="15"/>
  <c r="F156" i="15"/>
  <c r="F153" i="15"/>
  <c r="F152" i="15"/>
  <c r="F151" i="15"/>
  <c r="F132" i="15"/>
  <c r="F131" i="15"/>
  <c r="F130" i="15"/>
  <c r="F129" i="15"/>
  <c r="F97" i="15"/>
  <c r="F96" i="15"/>
  <c r="F95" i="15"/>
  <c r="F67" i="15"/>
  <c r="F61" i="15"/>
  <c r="F58" i="15"/>
  <c r="F52" i="15"/>
  <c r="F50" i="15"/>
  <c r="F46" i="15"/>
  <c r="F42" i="15"/>
  <c r="F40" i="15"/>
  <c r="F38" i="15"/>
  <c r="F32" i="15"/>
  <c r="F34" i="15" s="1"/>
  <c r="F36" i="15" s="1"/>
  <c r="G32" i="16" l="1"/>
  <c r="B6" i="3"/>
  <c r="B5" i="3"/>
  <c r="B4" i="3"/>
  <c r="C36" i="16"/>
  <c r="B36" i="16"/>
  <c r="C35" i="16"/>
  <c r="B35" i="16"/>
  <c r="C34" i="16"/>
  <c r="B34" i="16"/>
  <c r="C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C20" i="16"/>
  <c r="B20" i="16"/>
  <c r="C19" i="16"/>
  <c r="B19" i="16"/>
  <c r="C18" i="16"/>
  <c r="B18" i="16"/>
  <c r="C17" i="16"/>
  <c r="B17" i="16"/>
  <c r="C16" i="16"/>
  <c r="B16" i="16"/>
  <c r="C15" i="16"/>
  <c r="C14" i="16"/>
  <c r="B14" i="16"/>
  <c r="C13" i="16"/>
  <c r="B13" i="16"/>
  <c r="C12" i="16"/>
  <c r="H204" i="15"/>
  <c r="G20" i="16" s="1"/>
  <c r="H198" i="15"/>
  <c r="G19" i="16" s="1"/>
  <c r="H140" i="15"/>
  <c r="G18" i="16" s="1"/>
  <c r="H120" i="15"/>
  <c r="G17" i="16" s="1"/>
  <c r="H83" i="15"/>
  <c r="G16" i="16" s="1"/>
  <c r="H73" i="15"/>
  <c r="G14" i="16" s="1"/>
  <c r="H29" i="15"/>
  <c r="G13" i="16" s="1"/>
  <c r="H12" i="16" l="1"/>
  <c r="H75" i="15"/>
  <c r="H205" i="15"/>
  <c r="B2" i="6" l="1"/>
  <c r="B1" i="6"/>
  <c r="H242" i="10" l="1"/>
  <c r="F242" i="10"/>
  <c r="H241" i="10"/>
  <c r="F241" i="10"/>
  <c r="H240" i="10"/>
  <c r="F240" i="10"/>
  <c r="H236" i="10"/>
  <c r="F236" i="10"/>
  <c r="H235" i="10"/>
  <c r="F235" i="10"/>
  <c r="H234" i="10"/>
  <c r="F234" i="10"/>
  <c r="H228" i="10"/>
  <c r="F228" i="10"/>
  <c r="H227" i="10"/>
  <c r="F227" i="10"/>
  <c r="H226" i="10"/>
  <c r="F226" i="10"/>
  <c r="H225" i="10"/>
  <c r="F225" i="10"/>
  <c r="H224" i="10"/>
  <c r="F224" i="10"/>
  <c r="H223" i="10"/>
  <c r="F223" i="10"/>
  <c r="H222" i="10"/>
  <c r="F222" i="10"/>
  <c r="H221" i="10"/>
  <c r="F221" i="10"/>
  <c r="H220" i="10"/>
  <c r="F220" i="10"/>
  <c r="H219" i="10"/>
  <c r="F219" i="10"/>
  <c r="H218" i="10"/>
  <c r="F218" i="10"/>
  <c r="H216" i="10"/>
  <c r="F216" i="10"/>
  <c r="H215" i="10"/>
  <c r="F215" i="10"/>
  <c r="F213" i="10"/>
  <c r="H212" i="10"/>
  <c r="F212" i="10"/>
  <c r="H211" i="10"/>
  <c r="H210" i="10"/>
  <c r="F210" i="10"/>
  <c r="H204" i="10"/>
  <c r="F204" i="10"/>
  <c r="H203" i="10"/>
  <c r="F203" i="10"/>
  <c r="H202" i="10"/>
  <c r="F202" i="10"/>
  <c r="H201" i="10"/>
  <c r="F201" i="10"/>
  <c r="H200" i="10"/>
  <c r="F200" i="10"/>
  <c r="H199" i="10"/>
  <c r="F199" i="10"/>
  <c r="F205" i="10" s="1"/>
  <c r="H196" i="10"/>
  <c r="F196" i="10"/>
  <c r="H195" i="10"/>
  <c r="H197" i="10" s="1"/>
  <c r="F195" i="10"/>
  <c r="F197" i="10" s="1"/>
  <c r="H190" i="10"/>
  <c r="F190" i="10"/>
  <c r="H189" i="10"/>
  <c r="F189" i="10"/>
  <c r="H188" i="10"/>
  <c r="F188" i="10"/>
  <c r="H187" i="10"/>
  <c r="F187" i="10"/>
  <c r="H186" i="10"/>
  <c r="F186" i="10"/>
  <c r="H183" i="10"/>
  <c r="F183" i="10"/>
  <c r="H182" i="10"/>
  <c r="F182" i="10"/>
  <c r="H181" i="10"/>
  <c r="H180" i="10"/>
  <c r="F180" i="10"/>
  <c r="H179" i="10"/>
  <c r="H178" i="10"/>
  <c r="H177" i="10"/>
  <c r="F177" i="10"/>
  <c r="H176" i="10"/>
  <c r="F176" i="10"/>
  <c r="H171" i="10"/>
  <c r="F171" i="10"/>
  <c r="H170" i="10"/>
  <c r="F170" i="10"/>
  <c r="H169" i="10"/>
  <c r="F169" i="10"/>
  <c r="H168" i="10"/>
  <c r="F168" i="10"/>
  <c r="H167" i="10"/>
  <c r="F167" i="10"/>
  <c r="H164" i="10"/>
  <c r="F164" i="10"/>
  <c r="H163" i="10"/>
  <c r="F163" i="10"/>
  <c r="H158" i="10"/>
  <c r="F158" i="10"/>
  <c r="H157" i="10"/>
  <c r="F157" i="10"/>
  <c r="H156" i="10"/>
  <c r="F156" i="10"/>
  <c r="H155" i="10"/>
  <c r="F155" i="10"/>
  <c r="H154" i="10"/>
  <c r="F154" i="10"/>
  <c r="H153" i="10"/>
  <c r="F153" i="10"/>
  <c r="H152" i="10"/>
  <c r="F152" i="10"/>
  <c r="H151" i="10"/>
  <c r="F151" i="10"/>
  <c r="H150" i="10"/>
  <c r="F150" i="10"/>
  <c r="H149" i="10"/>
  <c r="F149" i="10"/>
  <c r="H148" i="10"/>
  <c r="F148" i="10"/>
  <c r="H147" i="10"/>
  <c r="F147" i="10"/>
  <c r="H146" i="10"/>
  <c r="F146" i="10"/>
  <c r="H145" i="10"/>
  <c r="F145" i="10"/>
  <c r="H144" i="10"/>
  <c r="F144" i="10"/>
  <c r="H143" i="10"/>
  <c r="F143" i="10"/>
  <c r="H142" i="10"/>
  <c r="F142" i="10"/>
  <c r="H141" i="10"/>
  <c r="F141" i="10"/>
  <c r="H140" i="10"/>
  <c r="F140" i="10"/>
  <c r="H139" i="10"/>
  <c r="F139" i="10"/>
  <c r="H138" i="10"/>
  <c r="F138" i="10"/>
  <c r="H137" i="10"/>
  <c r="F137" i="10"/>
  <c r="H134" i="10"/>
  <c r="H133" i="10"/>
  <c r="F133" i="10"/>
  <c r="H132" i="10"/>
  <c r="F132" i="10"/>
  <c r="H131" i="10"/>
  <c r="F131" i="10"/>
  <c r="H130" i="10"/>
  <c r="F130" i="10"/>
  <c r="H129" i="10"/>
  <c r="F129" i="10"/>
  <c r="H128" i="10"/>
  <c r="F128" i="10"/>
  <c r="H127" i="10"/>
  <c r="F127" i="10"/>
  <c r="H126" i="10"/>
  <c r="F126" i="10"/>
  <c r="H125" i="10"/>
  <c r="H135" i="10" s="1"/>
  <c r="F125" i="10"/>
  <c r="H122" i="10"/>
  <c r="F122" i="10"/>
  <c r="H121" i="10"/>
  <c r="F121" i="10"/>
  <c r="H120" i="10"/>
  <c r="F120" i="10"/>
  <c r="H119" i="10"/>
  <c r="F119" i="10"/>
  <c r="H118" i="10"/>
  <c r="F118" i="10"/>
  <c r="H117" i="10"/>
  <c r="F117" i="10"/>
  <c r="H116" i="10"/>
  <c r="F116" i="10"/>
  <c r="H115" i="10"/>
  <c r="F115" i="10"/>
  <c r="H114" i="10"/>
  <c r="F114" i="10"/>
  <c r="H113" i="10"/>
  <c r="F113" i="10"/>
  <c r="H110" i="10"/>
  <c r="F110" i="10"/>
  <c r="H109" i="10"/>
  <c r="F109" i="10"/>
  <c r="H108" i="10"/>
  <c r="F108" i="10"/>
  <c r="H107" i="10"/>
  <c r="F107" i="10"/>
  <c r="H103" i="10"/>
  <c r="H104" i="10" s="1"/>
  <c r="F95" i="10"/>
  <c r="F104" i="10" s="1"/>
  <c r="J91" i="10"/>
  <c r="H91" i="10"/>
  <c r="F91" i="10"/>
  <c r="J90" i="10"/>
  <c r="H90" i="10"/>
  <c r="F90" i="10"/>
  <c r="J89" i="10"/>
  <c r="H89" i="10"/>
  <c r="F89" i="10"/>
  <c r="J88" i="10"/>
  <c r="K88" i="10" s="1"/>
  <c r="L88" i="10" s="1"/>
  <c r="H88" i="10"/>
  <c r="F88" i="10"/>
  <c r="J87" i="10"/>
  <c r="K87" i="10" s="1"/>
  <c r="L87" i="10" s="1"/>
  <c r="H87" i="10"/>
  <c r="F87" i="10"/>
  <c r="J86" i="10"/>
  <c r="H86" i="10"/>
  <c r="F86" i="10"/>
  <c r="J85" i="10"/>
  <c r="H85" i="10"/>
  <c r="F85" i="10"/>
  <c r="J84" i="10"/>
  <c r="H84" i="10"/>
  <c r="F84" i="10"/>
  <c r="K83" i="10"/>
  <c r="L83" i="10" s="1"/>
  <c r="J83" i="10"/>
  <c r="H83" i="10"/>
  <c r="F83" i="10"/>
  <c r="J82" i="10"/>
  <c r="H82" i="10"/>
  <c r="F82" i="10"/>
  <c r="J81" i="10"/>
  <c r="H81" i="10"/>
  <c r="F81" i="10"/>
  <c r="J80" i="10"/>
  <c r="H80" i="10"/>
  <c r="F80" i="10"/>
  <c r="J79" i="10"/>
  <c r="H79" i="10"/>
  <c r="F79" i="10"/>
  <c r="J78" i="10"/>
  <c r="K78" i="10" s="1"/>
  <c r="L78" i="10" s="1"/>
  <c r="H78" i="10"/>
  <c r="F78" i="10"/>
  <c r="J77" i="10"/>
  <c r="H77" i="10"/>
  <c r="F77" i="10"/>
  <c r="J76" i="10"/>
  <c r="K76" i="10" s="1"/>
  <c r="H76" i="10"/>
  <c r="F76" i="10"/>
  <c r="J75" i="10"/>
  <c r="K75" i="10" s="1"/>
  <c r="K74" i="10"/>
  <c r="J74" i="10"/>
  <c r="K72" i="10"/>
  <c r="J72" i="10"/>
  <c r="L72" i="10" s="1"/>
  <c r="H72" i="10"/>
  <c r="F72" i="10"/>
  <c r="J71" i="10"/>
  <c r="K71" i="10" s="1"/>
  <c r="L71" i="10" s="1"/>
  <c r="H71" i="10"/>
  <c r="F71" i="10"/>
  <c r="J70" i="10"/>
  <c r="H70" i="10"/>
  <c r="F70" i="10"/>
  <c r="J69" i="10"/>
  <c r="K69" i="10" s="1"/>
  <c r="H69" i="10"/>
  <c r="K68" i="10"/>
  <c r="J68" i="10"/>
  <c r="H68" i="10"/>
  <c r="F68" i="10"/>
  <c r="J67" i="10"/>
  <c r="K67" i="10" s="1"/>
  <c r="H67" i="10"/>
  <c r="F67" i="10"/>
  <c r="F73" i="10" s="1"/>
  <c r="J66" i="10"/>
  <c r="K66" i="10" s="1"/>
  <c r="L66" i="10" s="1"/>
  <c r="J64" i="10"/>
  <c r="H64" i="10"/>
  <c r="F64" i="10"/>
  <c r="J63" i="10"/>
  <c r="H63" i="10"/>
  <c r="F63" i="10"/>
  <c r="J62" i="10"/>
  <c r="H62" i="10"/>
  <c r="F62" i="10"/>
  <c r="J61" i="10"/>
  <c r="K61" i="10" s="1"/>
  <c r="L61" i="10" s="1"/>
  <c r="H61" i="10"/>
  <c r="F61" i="10"/>
  <c r="J60" i="10"/>
  <c r="H60" i="10"/>
  <c r="F60" i="10"/>
  <c r="J59" i="10"/>
  <c r="K59" i="10" s="1"/>
  <c r="H59" i="10"/>
  <c r="J58" i="10"/>
  <c r="K58" i="10" s="1"/>
  <c r="H58" i="10"/>
  <c r="F58" i="10"/>
  <c r="J57" i="10"/>
  <c r="H57" i="10"/>
  <c r="F57" i="10"/>
  <c r="L56" i="10"/>
  <c r="J56" i="10"/>
  <c r="K56" i="10" s="1"/>
  <c r="H56" i="10"/>
  <c r="F56" i="10"/>
  <c r="J55" i="10"/>
  <c r="H55" i="10"/>
  <c r="F55" i="10"/>
  <c r="J54" i="10"/>
  <c r="K54" i="10" s="1"/>
  <c r="H54" i="10"/>
  <c r="F54" i="10"/>
  <c r="J53" i="10"/>
  <c r="H53" i="10"/>
  <c r="K52" i="10"/>
  <c r="L52" i="10" s="1"/>
  <c r="J52" i="10"/>
  <c r="H52" i="10"/>
  <c r="F52" i="10"/>
  <c r="J51" i="10"/>
  <c r="K51" i="10" s="1"/>
  <c r="H51" i="10"/>
  <c r="J50" i="10"/>
  <c r="K50" i="10" s="1"/>
  <c r="H50" i="10"/>
  <c r="F50" i="10"/>
  <c r="J49" i="10"/>
  <c r="K49" i="10" s="1"/>
  <c r="H49" i="10"/>
  <c r="F49" i="10"/>
  <c r="K48" i="10"/>
  <c r="L48" i="10" s="1"/>
  <c r="J48" i="10"/>
  <c r="J46" i="10"/>
  <c r="F46" i="10"/>
  <c r="J45" i="10"/>
  <c r="K45" i="10" s="1"/>
  <c r="H45" i="10"/>
  <c r="F45" i="10"/>
  <c r="J44" i="10"/>
  <c r="K44" i="10" s="1"/>
  <c r="H44" i="10"/>
  <c r="F44" i="10"/>
  <c r="J43" i="10"/>
  <c r="K43" i="10" s="1"/>
  <c r="J42" i="10"/>
  <c r="H42" i="10"/>
  <c r="F42" i="10"/>
  <c r="J41" i="10"/>
  <c r="H41" i="10"/>
  <c r="J40" i="10"/>
  <c r="H40" i="10"/>
  <c r="F40" i="10"/>
  <c r="J39" i="10"/>
  <c r="H39" i="10"/>
  <c r="F39" i="10"/>
  <c r="J38" i="10"/>
  <c r="K38" i="10" s="1"/>
  <c r="L38" i="10" s="1"/>
  <c r="H38" i="10"/>
  <c r="F38" i="10"/>
  <c r="L37" i="10"/>
  <c r="J37" i="10"/>
  <c r="K37" i="10" s="1"/>
  <c r="H37" i="10"/>
  <c r="J36" i="10"/>
  <c r="H36" i="10"/>
  <c r="F36" i="10"/>
  <c r="J35" i="10"/>
  <c r="H35" i="10"/>
  <c r="F35" i="10"/>
  <c r="J34" i="10"/>
  <c r="H34" i="10"/>
  <c r="F34" i="10"/>
  <c r="J33" i="10"/>
  <c r="H33" i="10"/>
  <c r="J32" i="10"/>
  <c r="H32" i="10"/>
  <c r="F32" i="10"/>
  <c r="J31" i="10"/>
  <c r="K31" i="10" s="1"/>
  <c r="H31" i="10"/>
  <c r="F31" i="10"/>
  <c r="J30" i="10"/>
  <c r="K30" i="10" s="1"/>
  <c r="H30" i="10"/>
  <c r="F30" i="10"/>
  <c r="J29" i="10"/>
  <c r="K29" i="10" s="1"/>
  <c r="L29" i="10" s="1"/>
  <c r="H29" i="10"/>
  <c r="J28" i="10"/>
  <c r="K28" i="10" s="1"/>
  <c r="L28" i="10" s="1"/>
  <c r="H28" i="10"/>
  <c r="F28" i="10"/>
  <c r="K27" i="10"/>
  <c r="L27" i="10" s="1"/>
  <c r="K26" i="10"/>
  <c r="L26" i="10" s="1"/>
  <c r="K25" i="10"/>
  <c r="L25" i="10" s="1"/>
  <c r="H25" i="10"/>
  <c r="F25" i="10"/>
  <c r="K24" i="10"/>
  <c r="L24" i="10" s="1"/>
  <c r="H24" i="10"/>
  <c r="F24" i="10"/>
  <c r="J23" i="10"/>
  <c r="H23" i="10"/>
  <c r="F23" i="10"/>
  <c r="H22" i="10"/>
  <c r="F22" i="10"/>
  <c r="H21" i="10"/>
  <c r="F21" i="10"/>
  <c r="H20" i="10"/>
  <c r="F20" i="10"/>
  <c r="J19" i="10"/>
  <c r="H19" i="10"/>
  <c r="F19" i="10"/>
  <c r="H18" i="10"/>
  <c r="F18" i="10"/>
  <c r="H17" i="10"/>
  <c r="F17" i="10"/>
  <c r="H16" i="10"/>
  <c r="F16" i="10"/>
  <c r="H15" i="10"/>
  <c r="F15" i="10"/>
  <c r="H14" i="10"/>
  <c r="F14" i="10"/>
  <c r="H13" i="10"/>
  <c r="F13" i="10"/>
  <c r="H12" i="10"/>
  <c r="F12" i="10"/>
  <c r="H11" i="10"/>
  <c r="F11" i="10"/>
  <c r="H10" i="10"/>
  <c r="F10" i="10"/>
  <c r="J9" i="10"/>
  <c r="H9" i="10"/>
  <c r="F9" i="10"/>
  <c r="P67" i="6"/>
  <c r="M67" i="6"/>
  <c r="P66" i="6"/>
  <c r="M66" i="6"/>
  <c r="P65" i="6"/>
  <c r="M65" i="6"/>
  <c r="P64" i="6"/>
  <c r="M64" i="6"/>
  <c r="P63" i="6"/>
  <c r="M63" i="6"/>
  <c r="L63" i="6"/>
  <c r="L64" i="6" s="1"/>
  <c r="L65" i="6" s="1"/>
  <c r="L66" i="6" s="1"/>
  <c r="L67" i="6" s="1"/>
  <c r="L68" i="6" s="1"/>
  <c r="P62" i="6"/>
  <c r="M62" i="6"/>
  <c r="P58" i="6"/>
  <c r="P51" i="6"/>
  <c r="P46" i="6"/>
  <c r="L32" i="10" l="1"/>
  <c r="L33" i="10"/>
  <c r="L50" i="10"/>
  <c r="K79" i="10"/>
  <c r="L79" i="10" s="1"/>
  <c r="F26" i="10"/>
  <c r="L31" i="10"/>
  <c r="L51" i="10"/>
  <c r="K53" i="10"/>
  <c r="L53" i="10" s="1"/>
  <c r="K57" i="10"/>
  <c r="L57" i="10" s="1"/>
  <c r="L67" i="10"/>
  <c r="F92" i="10"/>
  <c r="L84" i="10"/>
  <c r="H111" i="10"/>
  <c r="H123" i="10"/>
  <c r="F184" i="10"/>
  <c r="F229" i="10"/>
  <c r="F243" i="10"/>
  <c r="L45" i="10"/>
  <c r="F159" i="10"/>
  <c r="K63" i="10"/>
  <c r="L63" i="10" s="1"/>
  <c r="L75" i="10"/>
  <c r="L44" i="10"/>
  <c r="K46" i="10"/>
  <c r="L46" i="10" s="1"/>
  <c r="L80" i="10"/>
  <c r="K84" i="10"/>
  <c r="H213" i="10"/>
  <c r="H229" i="10"/>
  <c r="H243" i="10"/>
  <c r="H65" i="10"/>
  <c r="F111" i="10"/>
  <c r="H172" i="10"/>
  <c r="L19" i="10"/>
  <c r="F47" i="10"/>
  <c r="K32" i="10"/>
  <c r="L34" i="10"/>
  <c r="K62" i="10"/>
  <c r="L62" i="10" s="1"/>
  <c r="K80" i="10"/>
  <c r="K91" i="10"/>
  <c r="L91" i="10" s="1"/>
  <c r="F238" i="10"/>
  <c r="K23" i="10"/>
  <c r="L23" i="10" s="1"/>
  <c r="K33" i="10"/>
  <c r="F172" i="10"/>
  <c r="H191" i="10"/>
  <c r="F123" i="10"/>
  <c r="H159" i="10"/>
  <c r="F191" i="10"/>
  <c r="K19" i="10"/>
  <c r="H47" i="10"/>
  <c r="K34" i="10"/>
  <c r="F135" i="10"/>
  <c r="H165" i="10"/>
  <c r="H238" i="10"/>
  <c r="K35" i="10"/>
  <c r="L35" i="10" s="1"/>
  <c r="K39" i="10"/>
  <c r="L39" i="10" s="1"/>
  <c r="K42" i="10"/>
  <c r="L42" i="10" s="1"/>
  <c r="H26" i="10"/>
  <c r="K41" i="10"/>
  <c r="L41" i="10" s="1"/>
  <c r="L85" i="10"/>
  <c r="K85" i="10"/>
  <c r="K9" i="10"/>
  <c r="L9" i="10" s="1"/>
  <c r="K36" i="10"/>
  <c r="L36" i="10"/>
  <c r="F65" i="10"/>
  <c r="F245" i="10" s="1"/>
  <c r="K64" i="10"/>
  <c r="L64" i="10" s="1"/>
  <c r="H73" i="10"/>
  <c r="H92" i="10"/>
  <c r="K81" i="10"/>
  <c r="L81" i="10" s="1"/>
  <c r="L30" i="10"/>
  <c r="K40" i="10"/>
  <c r="L40" i="10" s="1"/>
  <c r="L43" i="10"/>
  <c r="L59" i="10"/>
  <c r="K60" i="10"/>
  <c r="L60" i="10" s="1"/>
  <c r="L69" i="10"/>
  <c r="K70" i="10"/>
  <c r="L70" i="10" s="1"/>
  <c r="L76" i="10"/>
  <c r="K77" i="10"/>
  <c r="L77" i="10" s="1"/>
  <c r="L90" i="10"/>
  <c r="L49" i="10"/>
  <c r="L54" i="10"/>
  <c r="K55" i="10"/>
  <c r="L55" i="10" s="1"/>
  <c r="L58" i="10"/>
  <c r="L68" i="10"/>
  <c r="L74" i="10"/>
  <c r="K89" i="10"/>
  <c r="L89" i="10" s="1"/>
  <c r="F165" i="10"/>
  <c r="H184" i="10"/>
  <c r="H205" i="10"/>
  <c r="K82" i="10"/>
  <c r="L82" i="10" s="1"/>
  <c r="K86" i="10"/>
  <c r="L86" i="10" s="1"/>
  <c r="K90" i="10"/>
  <c r="P68" i="6"/>
  <c r="J39" i="6" l="1"/>
  <c r="G34" i="16" s="1"/>
  <c r="J84" i="6"/>
  <c r="G35" i="16" s="1"/>
  <c r="H245" i="10"/>
  <c r="H33" i="16" l="1"/>
  <c r="J146" i="6"/>
  <c r="G36" i="16" s="1"/>
  <c r="J147" i="6" l="1"/>
  <c r="L146" i="6"/>
  <c r="M129" i="3" l="1"/>
  <c r="M128" i="3" l="1"/>
  <c r="I131" i="3" l="1"/>
  <c r="G30" i="16" s="1"/>
  <c r="P128" i="3" l="1"/>
  <c r="I51" i="3" l="1"/>
  <c r="I40" i="3" l="1"/>
  <c r="I27" i="3" l="1"/>
  <c r="I52" i="3" l="1"/>
  <c r="G22" i="16" s="1"/>
  <c r="I68" i="3" l="1"/>
  <c r="G24" i="16" s="1"/>
  <c r="I93" i="3" l="1"/>
  <c r="G26" i="16" s="1"/>
  <c r="I113" i="3" l="1"/>
  <c r="G28" i="16" s="1"/>
  <c r="I101" i="3" l="1"/>
  <c r="G27" i="16" s="1"/>
  <c r="P129" i="3" l="1"/>
  <c r="I126" i="3" l="1"/>
  <c r="G29" i="16" s="1"/>
  <c r="I62" i="3" l="1"/>
  <c r="G23" i="16" s="1"/>
  <c r="I147" i="3" l="1"/>
  <c r="G31" i="16" s="1"/>
  <c r="I85" i="3" l="1"/>
  <c r="G25" i="16" s="1"/>
  <c r="H15" i="16" l="1"/>
  <c r="H21" i="16"/>
  <c r="I151" i="3"/>
  <c r="H38" i="16" l="1"/>
  <c r="H39" i="16" l="1"/>
  <c r="H40" i="16"/>
  <c r="H41" i="16" s="1"/>
</calcChain>
</file>

<file path=xl/sharedStrings.xml><?xml version="1.0" encoding="utf-8"?>
<sst xmlns="http://schemas.openxmlformats.org/spreadsheetml/2006/main" count="1306" uniqueCount="609">
  <si>
    <t>NO</t>
  </si>
  <si>
    <t>URAIAN</t>
  </si>
  <si>
    <t>VOLUME</t>
  </si>
  <si>
    <t xml:space="preserve">JUMLAH </t>
  </si>
  <si>
    <t>( Rp )</t>
  </si>
  <si>
    <t>Unit</t>
  </si>
  <si>
    <t>-</t>
  </si>
  <si>
    <t>M'</t>
  </si>
  <si>
    <t>Lot</t>
  </si>
  <si>
    <t>Set</t>
  </si>
  <si>
    <t>Pemasangan instalasi lengkap dengan conduit,asesories DLL</t>
  </si>
  <si>
    <t>Titik</t>
  </si>
  <si>
    <t xml:space="preserve">Instalasi StopKontak </t>
  </si>
  <si>
    <t>Bh</t>
  </si>
  <si>
    <t>Instalasi Penerangan Kabel NYA 3x2,5mm2</t>
  </si>
  <si>
    <t>Saklar Seri</t>
  </si>
  <si>
    <t>Stop kontak 200Va</t>
  </si>
  <si>
    <t>set</t>
  </si>
  <si>
    <t>Pemasangan dan pengadaan lengkap dengan asesories conduit ,klem DLL</t>
  </si>
  <si>
    <t>Instalasi Fire Alarm Kabel NYA 2x(1x1,5mm2)</t>
  </si>
  <si>
    <t>Smoke DETECTOR</t>
  </si>
  <si>
    <t>ALARM BELL</t>
  </si>
  <si>
    <t>INDICATOR LAMP</t>
  </si>
  <si>
    <t>ANUNSIATOR 5 ZONE</t>
  </si>
  <si>
    <t>Manual Call Point ( MCP)</t>
  </si>
  <si>
    <t>A</t>
  </si>
  <si>
    <t>B</t>
  </si>
  <si>
    <t>C</t>
  </si>
  <si>
    <t>D</t>
  </si>
  <si>
    <t>E</t>
  </si>
  <si>
    <t>G</t>
  </si>
  <si>
    <t>I</t>
  </si>
  <si>
    <t>J</t>
  </si>
  <si>
    <t>K</t>
  </si>
  <si>
    <t>Instalasi Tata Suara Kabel Nyyhy 2x1,5mm2</t>
  </si>
  <si>
    <t>TEST COMUISONING</t>
  </si>
  <si>
    <t>SATUAN</t>
  </si>
  <si>
    <t>HARGA</t>
  </si>
  <si>
    <t>MCCB 3 Phase 30 Ampere 4 POLE Schneider Type NSX</t>
  </si>
  <si>
    <t>Pilot Lamp</t>
  </si>
  <si>
    <t>Busbar Tembaga Ukuran 4x25mm</t>
  </si>
  <si>
    <t>Kabel Nyyhy 2x1,5mm2</t>
  </si>
  <si>
    <t>Track Light Panjang 2 meter</t>
  </si>
  <si>
    <t>Lampu Track COB 20 Watt Spot</t>
  </si>
  <si>
    <t>CCTV OUTDORR Hybrid 5Mp 4in1 Netal ( EDGE,HIKVISION,DAHUA,DLL )</t>
  </si>
  <si>
    <t>CCTV INDOOR Hybrid 5Mp 4in1 Netal ( EDGE,HIKVISION,DAHUA,DLL )</t>
  </si>
  <si>
    <t>HDD 1 TERRA</t>
  </si>
  <si>
    <t>Power Suply 20 Output 20 Ampere</t>
  </si>
  <si>
    <t>TV LED 40  Inch Lengkap Dengan Bracket</t>
  </si>
  <si>
    <t>TV LED 32  Inch Lengkap Dengan Bracket</t>
  </si>
  <si>
    <t>SURGE ARESTER V25 OBO 25 ka</t>
  </si>
  <si>
    <t>Material Bantu ( Skun Kabel,Kabel Wiring,Pinil  DLL )</t>
  </si>
  <si>
    <t>Pengerjaan berikut dengan gali timbun,pipa ,asesories  DLL</t>
  </si>
  <si>
    <t>Lampu PHILLIPS led Bulb 10 Watt  E27 Warm White</t>
  </si>
  <si>
    <t>F</t>
  </si>
  <si>
    <t>unit</t>
  </si>
  <si>
    <t>Outsider Tray Ukuran 10x400</t>
  </si>
  <si>
    <t xml:space="preserve">Instalasi CCTV Kabel </t>
  </si>
  <si>
    <t>Pek.Pemasangan Instalasi CCTV</t>
  </si>
  <si>
    <t>Instalasi Fire Alarm Kabel Nyy 3x(4x1,5 ) Dari MCFA ke Anunsiator</t>
  </si>
  <si>
    <t>Jumlah Biaya Instalasi Pengadaan Genset &amp; Tes Com All Item</t>
  </si>
  <si>
    <t>Pek.Pemasangan Box Panel Wall Mounted Ukuran L40xD20xT60cm</t>
  </si>
  <si>
    <t>Seletor Volt Schneider</t>
  </si>
  <si>
    <t>TP LINK EAP 110 Outdorr Wireles Access Point</t>
  </si>
  <si>
    <t>TP LINK EAP 115  300mbps Celling Mounted  Access Point</t>
  </si>
  <si>
    <t>Cisco unmanaged switch 24 port SPF95-24</t>
  </si>
  <si>
    <t>MCB 1 Phase 20 Ampere 4,5 KA Domae</t>
  </si>
  <si>
    <t>Kabel HDMI / 50 Mtr BAFO</t>
  </si>
  <si>
    <t xml:space="preserve">Kabel HDMI  /30  MTR </t>
  </si>
  <si>
    <t>pcs</t>
  </si>
  <si>
    <t>MCFA (Main Control Fire Alarm ) 5 Zone</t>
  </si>
  <si>
    <t>DVR  16 Channel 5MP 1080 (EDGE,DAHUA,SAMSUNG)</t>
  </si>
  <si>
    <t>Pek.Pemasangan Box Wall Mounted Ukuran L60x80x20cm</t>
  </si>
  <si>
    <t>MCCB 3 Phase 160 Ampere 3 Pole NSX</t>
  </si>
  <si>
    <t>MCCB 3 phase 50 ampere EZC</t>
  </si>
  <si>
    <t>TRAY GALVANIS Type C Electro Ukuran 10x300x3000</t>
  </si>
  <si>
    <t>Ampere Meter Analog 150/5a</t>
  </si>
  <si>
    <t>Volt Meter Analog 500v</t>
  </si>
  <si>
    <t>Schneider CT 200/5a/</t>
  </si>
  <si>
    <t>Lampu RMI  TL LED 2x16 Watt</t>
  </si>
  <si>
    <t>Exhaust Fan 8 Inch Maspion Cerobong</t>
  </si>
  <si>
    <t>MCCB 100 Ampere 3 pole NSX</t>
  </si>
  <si>
    <t xml:space="preserve">Panel AC </t>
  </si>
  <si>
    <t>Material Bantu</t>
  </si>
  <si>
    <t>Panel  Stopkontak</t>
  </si>
  <si>
    <t>Panel Penerangan</t>
  </si>
  <si>
    <t>Kabel NYY 4x50mm2 dari RUANG ME Ke  panel AC</t>
  </si>
  <si>
    <t>Kabel NYY 4x50mm2 dari RUANG ME Ke  panel Stopkontak</t>
  </si>
  <si>
    <t>Kabel NYY 4x4mm2 dari RUANG ME Ke  Penerangan</t>
  </si>
  <si>
    <t xml:space="preserve">Kabel NYY 4x16mm2 dari Panel Ac ke Outdoor AC </t>
  </si>
  <si>
    <t>Kabel NYY 4x4mm2 dari Panel Ac  Outdoor AC Cassette</t>
  </si>
  <si>
    <t>Instalasi Kabel Tray  Lengkap dengan Asesories</t>
  </si>
  <si>
    <t>Lampu Led Selang 6,6Watt</t>
  </si>
  <si>
    <t>mtr</t>
  </si>
  <si>
    <t>bh</t>
  </si>
  <si>
    <t>Lampu Downlight PinHole 10 Watt Nerolight</t>
  </si>
  <si>
    <t>Stop kontak Lantai Panasonic</t>
  </si>
  <si>
    <t>Saklar Clypsal 6 Digit</t>
  </si>
  <si>
    <t>Instalasi Kabel Data</t>
  </si>
  <si>
    <t>Lampu Gantung VINTAGE 10 WAT led Bulb Warm White</t>
  </si>
  <si>
    <t>Batang</t>
  </si>
  <si>
    <t>NO.</t>
  </si>
  <si>
    <t>URAIAN PEKERJAAN</t>
  </si>
  <si>
    <t>PEKERJAAN PLUMBING</t>
  </si>
  <si>
    <t>Instalasi Air Bersih</t>
  </si>
  <si>
    <t>Peralatan Utama Air Bersih</t>
  </si>
  <si>
    <t>Semi jet - 100 Bit (Pompa semi Jet)</t>
  </si>
  <si>
    <t>Gate Valve Dia. 1"</t>
  </si>
  <si>
    <t>Check Valve Dia.1"</t>
  </si>
  <si>
    <t>Reducer 2" x 1"</t>
  </si>
  <si>
    <t xml:space="preserve">Fitting &amp; Material Bantu </t>
  </si>
  <si>
    <t>lot</t>
  </si>
  <si>
    <t>Instalasi Air Bersih Lantai 2</t>
  </si>
  <si>
    <t>Pemipaan Pvc Aw</t>
  </si>
  <si>
    <t xml:space="preserve">Pipa PVC AW Dia. 1/2" </t>
  </si>
  <si>
    <t xml:space="preserve">Pipa PVC AW Dia. 3/4" </t>
  </si>
  <si>
    <t xml:space="preserve">Pipa PVC AW Dia. 1" </t>
  </si>
  <si>
    <t>Instaalasi Air kotor&amp; Air bekas</t>
  </si>
  <si>
    <t>Instalasi Air Bekas,Kotor &amp; Lantai 2</t>
  </si>
  <si>
    <t>Pemipaan PVC AW</t>
  </si>
  <si>
    <t xml:space="preserve">Pipa PVC AW Dia. 2" </t>
  </si>
  <si>
    <t xml:space="preserve">Pipa PVC AW Dia. 3" </t>
  </si>
  <si>
    <t xml:space="preserve">Pipa PVC AW Dia. 4" </t>
  </si>
  <si>
    <t>Clean Out 4"</t>
  </si>
  <si>
    <t>SPRINKLER DAN HYDRANT</t>
  </si>
  <si>
    <t>Peralatan utama</t>
  </si>
  <si>
    <t>Termasuk dudukan/pondasi pompa</t>
  </si>
  <si>
    <t>Diesel Fire Pump (DFP)</t>
  </si>
  <si>
    <t>Kapasitas  : 500 GPM</t>
  </si>
  <si>
    <t xml:space="preserve">Head : 120 mka          </t>
  </si>
  <si>
    <t xml:space="preserve">Speed   : 2900 rpm      </t>
  </si>
  <si>
    <t>Type :  Centrifugal &amp; Suction Fuel Tank</t>
  </si>
  <si>
    <t>Elektrik Pump (EP)</t>
  </si>
  <si>
    <t xml:space="preserve">Head   : 90 mka     </t>
  </si>
  <si>
    <t xml:space="preserve">Speed  : 2900 rpm        </t>
  </si>
  <si>
    <t xml:space="preserve">PI   : 5,5 KW/380V/50Hz/3Ph             </t>
  </si>
  <si>
    <t>Type : Vertical Multi Stage Pump</t>
  </si>
  <si>
    <t>Jockey Pump</t>
  </si>
  <si>
    <t xml:space="preserve">Type : Vertical Segment </t>
  </si>
  <si>
    <t>Accesories Ruang Pompa</t>
  </si>
  <si>
    <t>Pemipaan Ruang Pompa</t>
  </si>
  <si>
    <t>Lantai 1</t>
  </si>
  <si>
    <t>Pemipaan BSP Sch. 40 (Pemipaan Hydrant)</t>
  </si>
  <si>
    <t>(Incl.Fitting &amp; All Accessories)</t>
  </si>
  <si>
    <t xml:space="preserve">Pipa BSP sch. 40  3" (80 mm) </t>
  </si>
  <si>
    <t xml:space="preserve">Pipa BSP sch. 40  4" (100 mm) </t>
  </si>
  <si>
    <t xml:space="preserve">OUtdoor Hydrant Box </t>
  </si>
  <si>
    <t xml:space="preserve">Lengakap Dengan: </t>
  </si>
  <si>
    <t>Hose Rack</t>
  </si>
  <si>
    <t>Fire Hose Dia. 40 P.30 Meter</t>
  </si>
  <si>
    <t>Nozle Dia. 40</t>
  </si>
  <si>
    <t>Gate Valve  Dia. 40 (Drat)</t>
  </si>
  <si>
    <t>Landing Valve  Dia. 65/Hydrant Valve (Drat)</t>
  </si>
  <si>
    <t>Fire Extinguisher Kap. 3 Kg</t>
  </si>
  <si>
    <t>Lantai 2</t>
  </si>
  <si>
    <t>Pemipaan BSP Sch. 40</t>
  </si>
  <si>
    <t xml:space="preserve">Pipa BSP sch. 40  1" (25 mm) </t>
  </si>
  <si>
    <t xml:space="preserve">Pipa BSP sch. 40  1,25" (32 mm) </t>
  </si>
  <si>
    <t xml:space="preserve">Pipa BSP sch. 40  1,5" (40 mm) </t>
  </si>
  <si>
    <t xml:space="preserve">Pipa BSP sch. 40  2" (50 mm) </t>
  </si>
  <si>
    <t xml:space="preserve">Pipa BSP sch. 40  2,5" (65 mm) </t>
  </si>
  <si>
    <t>Sprinkler Head Pendant</t>
  </si>
  <si>
    <t xml:space="preserve">Indoor Hydrant Box </t>
  </si>
  <si>
    <t>Test &amp; Commissioning</t>
  </si>
  <si>
    <t>ls</t>
  </si>
  <si>
    <t>PEKERJAAN TATA UDARA</t>
  </si>
  <si>
    <t>AC Cassete Kapasitas 27.300 BTUH</t>
  </si>
  <si>
    <t>OUT DOOR UNIT</t>
  </si>
  <si>
    <t>-Outdoor VRF (20pk)</t>
  </si>
  <si>
    <t>Instalasi, material support, testing &amp; commissioning</t>
  </si>
  <si>
    <t>Ducting &amp; aksesoris</t>
  </si>
  <si>
    <t>AC AHU r</t>
  </si>
  <si>
    <t>- Kapasitas : 100.000 BTU/h</t>
  </si>
  <si>
    <t>Pipa Refrigerant Ø 22,22 ( 7/8 )</t>
  </si>
  <si>
    <t>m'</t>
  </si>
  <si>
    <t>Pipa Refrigerant Ø28,58 ( 1 1/8 )</t>
  </si>
  <si>
    <t>Ducting Supply BJLS 0,6 Isolasi</t>
  </si>
  <si>
    <t>600 X 300</t>
  </si>
  <si>
    <t>400 X 300</t>
  </si>
  <si>
    <t>300 X 250</t>
  </si>
  <si>
    <t>Ducting BJLS 0,6 Isolasi Return</t>
  </si>
  <si>
    <t>600 X 250</t>
  </si>
  <si>
    <t>400 X 250</t>
  </si>
  <si>
    <t>250 X 250</t>
  </si>
  <si>
    <t>Ducting Fresh Air</t>
  </si>
  <si>
    <t>200X200</t>
  </si>
  <si>
    <t>Diffuser</t>
  </si>
  <si>
    <t>SAD 1000 X 500 ( Lengkap dengan Hepa filter )</t>
  </si>
  <si>
    <t>RAG 500 X 350</t>
  </si>
  <si>
    <t>Unit fresh air, ducting &amp; aksesoris</t>
  </si>
  <si>
    <t>SEF 2000 CFM</t>
  </si>
  <si>
    <t>400 X 200</t>
  </si>
  <si>
    <t>350 X 200</t>
  </si>
  <si>
    <t>300 X 200</t>
  </si>
  <si>
    <t>250 X 200</t>
  </si>
  <si>
    <t>200 X 200</t>
  </si>
  <si>
    <t>FAG 200 X 450</t>
  </si>
  <si>
    <t>RAG  200 X 400</t>
  </si>
  <si>
    <t>RAG  150 X 800</t>
  </si>
  <si>
    <t>Volume Damper 400 x 250</t>
  </si>
  <si>
    <t>Unit exhaust fan toilet, ducting &amp; aksesoris</t>
  </si>
  <si>
    <t xml:space="preserve">Exhaust Ceilling </t>
  </si>
  <si>
    <t>DUCTING Exhoust Fan  / Instalasi Pipa Exhoust Fan</t>
  </si>
  <si>
    <t>Pipa Ø 4"</t>
  </si>
  <si>
    <t>Instalasi pipa refrigerant &amp; drain ac</t>
  </si>
  <si>
    <t>Instalasi Pipa Refrigerant</t>
  </si>
  <si>
    <t>Pipa Refrigerant Ø6,35 ( 1/4 )</t>
  </si>
  <si>
    <t>Pipa Refrigerant Ø9,52 ( 3/8 )</t>
  </si>
  <si>
    <t>Pipa Refrigerant Ø12,70  ( 1/2 )</t>
  </si>
  <si>
    <t>Pipa Refrigerant Ø 15,88 ( 5/8 )</t>
  </si>
  <si>
    <t>Pipa Refrigerant Ø19,05 ( 3/4 )</t>
  </si>
  <si>
    <t>Y Joint</t>
  </si>
  <si>
    <t>Instalasi Pipa Drain AC</t>
  </si>
  <si>
    <t>Pipa dia 25mm</t>
  </si>
  <si>
    <t>Pipa dia 20mm</t>
  </si>
  <si>
    <t>No.</t>
  </si>
  <si>
    <t>ttk</t>
  </si>
  <si>
    <t>URAIAN  PEKERJAAN</t>
  </si>
  <si>
    <t>SAT</t>
  </si>
  <si>
    <t>HARGA SATUAN MATRIAL (Rp.)</t>
  </si>
  <si>
    <t>JUMLAH SATUAN MATRIAL   (Rp.)</t>
  </si>
  <si>
    <t>HARGA SATUAN UPAH (Rp.)</t>
  </si>
  <si>
    <t>JUMLAH SATUAN UPAH    (Rp.)</t>
  </si>
  <si>
    <t>Unit indoor &amp; outdoor AC</t>
  </si>
  <si>
    <t>AC Split Wall Kapasitas 5.000 BTUH</t>
  </si>
  <si>
    <t>-Instalasi Kabel Power NYM 3 x 2,5mm</t>
  </si>
  <si>
    <t>Ttk</t>
  </si>
  <si>
    <t>AC Split Wall Kapasitas 7.800 BTUH</t>
  </si>
  <si>
    <t>AC Split Wall Kapasitas 9.600 BTUH</t>
  </si>
  <si>
    <t>AC Split Wall Kapasitas 12.300 BTUH</t>
  </si>
  <si>
    <t>AC Split Wall Kapasitas 18.000 BTUH</t>
  </si>
  <si>
    <t>-Instalasi Kabel Power NYM 4 x 4mm</t>
  </si>
  <si>
    <t>-Outdoor VRF (30 HP)</t>
  </si>
  <si>
    <t>-Outdoor VRF (20HP)</t>
  </si>
  <si>
    <t>-Instalasi Kabel Power NYY 4 x 16 mm</t>
  </si>
  <si>
    <t>Sub Total Matrial 8</t>
  </si>
  <si>
    <t>Sub Total Upah 8</t>
  </si>
  <si>
    <t>II</t>
  </si>
  <si>
    <t>Unit ac ruang ok, ducting &amp; aksesoris</t>
  </si>
  <si>
    <t>AC AHU Ruang OK Major &amp; Minor</t>
  </si>
  <si>
    <t>-Instalasi Kabel Power NYM 4 x 6mm</t>
  </si>
  <si>
    <t>Sub Total Matrial 9</t>
  </si>
  <si>
    <t>Sub Total Upah 9</t>
  </si>
  <si>
    <t>III</t>
  </si>
  <si>
    <t>SEF 1500 CFM</t>
  </si>
  <si>
    <t>Sub Total Matrial 10</t>
  </si>
  <si>
    <t>Sub Total Upah 10</t>
  </si>
  <si>
    <t>Exhaust Ceilling Fan 60 CFM</t>
  </si>
  <si>
    <t>Pipa Ø 6"</t>
  </si>
  <si>
    <t>Sub Total Matrial 11</t>
  </si>
  <si>
    <t>Sub Total Upah 11</t>
  </si>
  <si>
    <t>IV</t>
  </si>
  <si>
    <t>Pipa Refrigerant Ø 34,92 ( 1 3/8 )</t>
  </si>
  <si>
    <t>Pipa Refrigerant Ø 41,28 ( 1 5/8 )</t>
  </si>
  <si>
    <t>Pipa dia 50mm</t>
  </si>
  <si>
    <t>Pipa dia 40mm</t>
  </si>
  <si>
    <t>Sub Total Matrial 12</t>
  </si>
  <si>
    <t>Sub Total Upah 12</t>
  </si>
  <si>
    <t>PEKERJAAN TRANSPORTASI DALAM GEDUNG</t>
  </si>
  <si>
    <t>Lift Kebakaran</t>
  </si>
  <si>
    <t>Kapasitas : 750 Kg, Kecepatan : 2,5 (m/sec),</t>
  </si>
  <si>
    <t>Layanan : 8 Lantai, Center Opening door</t>
  </si>
  <si>
    <t>Spesifikasi :  Fire Fighter emergency operation, Fire emergency return</t>
  </si>
  <si>
    <t>Earthquake Emergency return, Operation by Emergency Power Source</t>
  </si>
  <si>
    <t>Automatic Door Speed control, Door Load Detector</t>
  </si>
  <si>
    <t>Safe Landing, Overload Holding Stop,  Independent Service</t>
  </si>
  <si>
    <t>Separator Beam , Beam WF, Base plat, Heavy duty</t>
  </si>
  <si>
    <t>Biaya Pemasangan Lift &amp; Perijinan</t>
  </si>
  <si>
    <t>Sub Total Matrial 13</t>
  </si>
  <si>
    <t>Sub Total Upah 13</t>
  </si>
  <si>
    <t>PEKERJAAN ELEKTRIKAL</t>
  </si>
  <si>
    <t>Pekerjaan kabel tray</t>
  </si>
  <si>
    <t>Kabel Tray 500 x 50 mm (Elektrikal)</t>
  </si>
  <si>
    <t>Kabel Tray 300 x 50 mm (Elektrikal)</t>
  </si>
  <si>
    <t>Kabel Tray 200 x 50 mm (Elektronik)</t>
  </si>
  <si>
    <t>Tray Ladder 300 dari LVMDP ke SDP</t>
  </si>
  <si>
    <t>Sub Total Matrial 14</t>
  </si>
  <si>
    <t>Sub Total Upah 14</t>
  </si>
  <si>
    <t>Pekerjaan Panel</t>
  </si>
  <si>
    <t>PANEL SDP LT-7</t>
  </si>
  <si>
    <t>PANEL LP 7-1</t>
  </si>
  <si>
    <t>PANEL LP 7-2</t>
  </si>
  <si>
    <t>PANEL PP 7-1</t>
  </si>
  <si>
    <t>PANEL PP 7-2</t>
  </si>
  <si>
    <t>PANEL PAC-7.1</t>
  </si>
  <si>
    <t>PANEL PAC-7.2</t>
  </si>
  <si>
    <t>PANEL OUTDOOR AC</t>
  </si>
  <si>
    <t>PANEL OK 1 &amp; OK 2</t>
  </si>
  <si>
    <t>Sub Total Matrial 15</t>
  </si>
  <si>
    <t>Sub Total Upah 15</t>
  </si>
  <si>
    <t>Pekerjaan Kabel Power</t>
  </si>
  <si>
    <t>Kabel NYY 4x185mmdari LVMDP Existing ke SDP LT-7</t>
  </si>
  <si>
    <t>Kabel NYY 4x6mmdari SDP Lt-7 ke LP-7.1</t>
  </si>
  <si>
    <t>Kabel NYY 4x10mmdari SDP Lt-7 ke PP-7.1</t>
  </si>
  <si>
    <t>Kabel NYY 4x50mmdari SDP Lt-7 ke PAC-7.1</t>
  </si>
  <si>
    <t>Kabel NYY 4x50mmdari SDP Lt-7 ke P OUTDOOR AC-7.1 ( di atap)</t>
  </si>
  <si>
    <t>Kabel NYY 4x95mmdari SDP Lt-7 ke PANEL OK-1 &amp; 2</t>
  </si>
  <si>
    <t>Kabel NYY 4x6mmdari SDP Lt-7 ke LP-7.2</t>
  </si>
  <si>
    <t>Kabel NYY 4x10mmdari SDP Lt-7 ke PP-7.2</t>
  </si>
  <si>
    <t>Kabel NYY 4x50mmdari SDP Lt-7 ke PAC-7.2</t>
  </si>
  <si>
    <t>Sub Total Matrial 16</t>
  </si>
  <si>
    <t>16Sub Total Upah 5</t>
  </si>
  <si>
    <t>Instalasi &amp; Fixture</t>
  </si>
  <si>
    <t>Lampu LED265 Slim Panel RC091V, 4000K,  29W</t>
  </si>
  <si>
    <t>Lampu LED265 Slim Panel RC091V, 4000K,  29W + Battery Emergency</t>
  </si>
  <si>
    <t>Lampu  LED35 Clean Room CR467B, 6500K,  31W</t>
  </si>
  <si>
    <t>Lampu  Downlight DN027B G2-5", 6500K, 11W</t>
  </si>
  <si>
    <t>Lampu  Downlight DN027B G2-5", 6500K, 11W+ Battery Emergency</t>
  </si>
  <si>
    <t>Lampu  Downlight DN027B G2-5", 6500K, 15W</t>
  </si>
  <si>
    <t>Lampu  Downlight DN027B G2-5", 6500K, 15W+ Battery Emergency</t>
  </si>
  <si>
    <t>Lampu Outbow Downlight LED D175, 16W</t>
  </si>
  <si>
    <t>Lampu Outbow Downlight LED D175, 16W + Battery Emergency</t>
  </si>
  <si>
    <t>Lampu Gantung LED40, BY088P, 40W</t>
  </si>
  <si>
    <t>Lampu LED Pendant Hanging Lamp, 54 W</t>
  </si>
  <si>
    <t>Lampu LED Cove Light 31059, 3000K</t>
  </si>
  <si>
    <t>Lampu EXIT 15W</t>
  </si>
  <si>
    <t>Lampu Operasi Gantung 12 plus 5 Reflectors ZMD</t>
  </si>
  <si>
    <t>Saklar tunggal</t>
  </si>
  <si>
    <t>Saklar  Ganda</t>
  </si>
  <si>
    <t>Saklar Tukar tunggal dua arah</t>
  </si>
  <si>
    <t>Stop kontak 1 P / 200 VA</t>
  </si>
  <si>
    <t>Stop kontak 1 P / 200 VA ( Plafon )</t>
  </si>
  <si>
    <t>Stop kontak Lantai 1 P / 200 V</t>
  </si>
  <si>
    <t>Titik instalasi penerangan, NYM 3 x 2,5 mm2 dalam konduit</t>
  </si>
  <si>
    <t>Titik instalasi Stop Kontak, NYM 3 x 2,5 mm2 dalam konduit</t>
  </si>
  <si>
    <t>Sub Total Matrial 17</t>
  </si>
  <si>
    <t>Sub Total Upah 17</t>
  </si>
  <si>
    <t>PEKERJAAN INSTALASI TELEPON</t>
  </si>
  <si>
    <t>Kabel Distribusi</t>
  </si>
  <si>
    <t>Kabel ITC 30pair dari TB-TP1 ke MDF di LT 1,R Kontrol</t>
  </si>
  <si>
    <t>Kabel ITC 30pair dari TB-TP2 ke MDF di LT 1,R Kontrol</t>
  </si>
  <si>
    <t>Sub Total Matrial 18</t>
  </si>
  <si>
    <t>Sub Total Upah 18</t>
  </si>
  <si>
    <t>Terminal Box Telephone 30 Pair</t>
  </si>
  <si>
    <t>Outlet telephone</t>
  </si>
  <si>
    <t>Hand Set Telephone analog</t>
  </si>
  <si>
    <t>Instalasi telephone, ITC 2x2x0,6mm² dalam Conduit</t>
  </si>
  <si>
    <t>Material support, testing &amp; commissioning</t>
  </si>
  <si>
    <t>Ls</t>
  </si>
  <si>
    <t>Sub Total Matrial 19</t>
  </si>
  <si>
    <t>Sub Total Upah 19</t>
  </si>
  <si>
    <t>H</t>
  </si>
  <si>
    <t>PEKERJAAN INSTALASI DATA ( LAN )</t>
  </si>
  <si>
    <t>Peralatan &amp; Kabel Distribusi</t>
  </si>
  <si>
    <t>Rack Server Wall Mount</t>
  </si>
  <si>
    <t>- Ups 500VA</t>
  </si>
  <si>
    <t>- 6 Outlet Type 16A</t>
  </si>
  <si>
    <t>- Wallmount C560 8U Depth 500mm</t>
  </si>
  <si>
    <t>Switch Hub 48 Port</t>
  </si>
  <si>
    <t>- Kabel UTP Cat-6,  dari Rack Wall Mount  1 ke LT 1,R Kontrol</t>
  </si>
  <si>
    <t>- Kabel UTP Cat-6,dari Rack Wall Mount  2 ke  LT 1,R Kontrol</t>
  </si>
  <si>
    <t>Sub Total Matrial 20</t>
  </si>
  <si>
    <t>Sub Total Upah 20</t>
  </si>
  <si>
    <t>Instalasi kabel data UTP cat.6e + Pipa Conduit</t>
  </si>
  <si>
    <t>Instalasi kabel data UTP cat.6e + Pipa Conduit  (Access Point)</t>
  </si>
  <si>
    <t>Outlet data Wall RG45</t>
  </si>
  <si>
    <t>Outlet data Ceilling RG45</t>
  </si>
  <si>
    <t>Sub Total Matrial 21</t>
  </si>
  <si>
    <t>Sub Total Upah 21</t>
  </si>
  <si>
    <t>PEKERJAAN  TATA SUARA</t>
  </si>
  <si>
    <t>-  Kabel NYMHY 3 x 2.5 mm² dari TB.TS1 Ke CRPS</t>
  </si>
  <si>
    <t>-  Kabel NYMHY 3 x 2.5 mm dari TB.TS2 Ke CRPS</t>
  </si>
  <si>
    <t>Sub Total Matrial 22</t>
  </si>
  <si>
    <t>Sub Total Upah 22</t>
  </si>
  <si>
    <t>Sound Terminal Box (TB.TS1 &amp; TB.TS2)</t>
  </si>
  <si>
    <t>Ceilling speaker 6W</t>
  </si>
  <si>
    <t>Columb Speaker</t>
  </si>
  <si>
    <t>Volume control</t>
  </si>
  <si>
    <t>Instalasi speaker &amp; Vol. Control , NYMHY 3x1,5mm</t>
  </si>
  <si>
    <t>Sub Total Matrial 23</t>
  </si>
  <si>
    <t>Sub Total Upah 23</t>
  </si>
  <si>
    <t>J.</t>
  </si>
  <si>
    <t>PEKERJAAN FIRE ALARM</t>
  </si>
  <si>
    <t>Kabel distribusi AWG18 dalam HI PVC dari :</t>
  </si>
  <si>
    <t>• MDF ke TB-FA. 1 (2 pair)</t>
  </si>
  <si>
    <t>Kabel telepon ITC 2 x 0.6 mm² dlm HI PVC dari :</t>
  </si>
  <si>
    <t>• MDF ke TB-FA. 1 (10 pair)</t>
  </si>
  <si>
    <t>Sub Total Matrial 24</t>
  </si>
  <si>
    <t>Sub Total Upah 24</t>
  </si>
  <si>
    <t>Fire Terminal Box</t>
  </si>
  <si>
    <t>- Kabel dari TB FA1 KE TB FA 2</t>
  </si>
  <si>
    <t>Instalasi &amp; Fixtures</t>
  </si>
  <si>
    <t>Smoke Detector c/w LED</t>
  </si>
  <si>
    <t>Heat Detector c/w LED</t>
  </si>
  <si>
    <t>Indicator lamp,</t>
  </si>
  <si>
    <t>Alarm bell</t>
  </si>
  <si>
    <t>Push botton</t>
  </si>
  <si>
    <t>Line telepon FHC / jack telepon</t>
  </si>
  <si>
    <t>Instalasi detector</t>
  </si>
  <si>
    <t>Instalasi indicator lamp,</t>
  </si>
  <si>
    <t>Instalasi alarm bell</t>
  </si>
  <si>
    <t>Instalasi push botton</t>
  </si>
  <si>
    <t>Testing &amp; Comissioning</t>
  </si>
  <si>
    <t>Sub Total Matrial 25</t>
  </si>
  <si>
    <t>Sub Total Upah 25</t>
  </si>
  <si>
    <t>PEKERJAAN INSTALASI CCTV</t>
  </si>
  <si>
    <t>Instalasi kabel video dari  camera ke ruang kontrol</t>
  </si>
  <si>
    <t>kabel coaxial RG-6 dalam pipa conduit ø 20 mm</t>
  </si>
  <si>
    <t>Instalasi kabel power NYM 3 x 2.5 mm² untuk setiap</t>
  </si>
  <si>
    <t>camera dalam pipa conduit ø 20 mm</t>
  </si>
  <si>
    <t>Sub Total Matrial 26</t>
  </si>
  <si>
    <t>Sub Total Upah 26</t>
  </si>
  <si>
    <t>Fixed Dome Colour Camera</t>
  </si>
  <si>
    <t>Outdoor Camera</t>
  </si>
  <si>
    <t>Sub Total Matrial 27</t>
  </si>
  <si>
    <t>Sub Total Upah 27</t>
  </si>
  <si>
    <t xml:space="preserve"> Total Matrial </t>
  </si>
  <si>
    <t xml:space="preserve">Sub Total Upah </t>
  </si>
  <si>
    <t xml:space="preserve"> </t>
  </si>
  <si>
    <t xml:space="preserve">HARGA </t>
  </si>
  <si>
    <t>m</t>
  </si>
  <si>
    <t xml:space="preserve">Gate valve 5K   2,5" (65 mm) </t>
  </si>
  <si>
    <t xml:space="preserve">Gate valve 5K   4" (100 mm) </t>
  </si>
  <si>
    <t xml:space="preserve">Check valve 16K   4" (100 mm) </t>
  </si>
  <si>
    <t>Hydran pillar 2 ways (Ex. lokal)</t>
  </si>
  <si>
    <t>Siamesse connection (ex. Local)</t>
  </si>
  <si>
    <t xml:space="preserve">A. </t>
  </si>
  <si>
    <t>JUMLAH TOTAL</t>
  </si>
  <si>
    <t>ITEM  PEKERJAAN</t>
  </si>
  <si>
    <t>VOL.</t>
  </si>
  <si>
    <t>SAT.</t>
  </si>
  <si>
    <t xml:space="preserve"> SAT.</t>
  </si>
  <si>
    <t>SATUAN ( Rp )</t>
  </si>
  <si>
    <t>I.</t>
  </si>
  <si>
    <t>PLUMBING, SPRINKLER / HYDRANT DAN TATA UDARA</t>
  </si>
  <si>
    <t>ELEKTRIKAL</t>
  </si>
  <si>
    <t>INSTALASI TOILET</t>
  </si>
  <si>
    <t xml:space="preserve">PEMASANGAN PANEL </t>
  </si>
  <si>
    <t>PEMASANGAN KABEL FEEDER</t>
  </si>
  <si>
    <t>PEMASANGAN KABEL TRAY ARUS KUAT &amp; ARUS LEMAH</t>
  </si>
  <si>
    <t>PEMASANGAN INSTALASI PENERANGAN &amp; STOPKONTAK LANTAI 1 Berikut Armatur</t>
  </si>
  <si>
    <t xml:space="preserve">PEMASANGAN INSTALASI CCTV LANTAI DASAR </t>
  </si>
  <si>
    <t>PEMASANGAN INSTALASI FIRE ALARM LANTAI 1 , TAMAN PARKING &amp; LANTAI 2</t>
  </si>
  <si>
    <t>PEMASANGAN INSTALASI TATA SUARA  LANTAI 1 &amp; LANTAI 2</t>
  </si>
  <si>
    <t>PEMASANGAN INSTALASI Kabel Utp Data LANTAI 1 &amp; LANTAI 2</t>
  </si>
  <si>
    <t>II.</t>
  </si>
  <si>
    <t>B.</t>
  </si>
  <si>
    <t>DIBULATKAN</t>
  </si>
  <si>
    <t>C.</t>
  </si>
  <si>
    <t>JUMLAH TOTAL BIAYA ELEKTRIKAL</t>
  </si>
  <si>
    <t>III.</t>
  </si>
  <si>
    <t>: PEMBANGUNAN GEDUNG AULA KANTOR PUSAT PT. JASA RAHARJA</t>
  </si>
  <si>
    <t>IV.</t>
  </si>
  <si>
    <t>JUMLAH TOTAL BIAYA PLUMBING, SPRINKLER / HYDRANT DAN TATA UDARA</t>
  </si>
  <si>
    <t>JUMLAH PEKERJAAN PLUMBING</t>
  </si>
  <si>
    <t>JUMLAH PEKERJAAN SPRINKLER DAN HYDRANT</t>
  </si>
  <si>
    <t>JUMLAH PEKERJAAN TATA UDARA</t>
  </si>
  <si>
    <t>JUMLAH PEMASANGAN PANEL</t>
  </si>
  <si>
    <t>JUMLAH PEMASANGAN KABEL FEEDER</t>
  </si>
  <si>
    <t>JUMLAH PEMASANGAN KABEL TRAY ARUS KUAT &amp; ARUS LEMAH</t>
  </si>
  <si>
    <t>JUMLAH PEMASANGAN INSTALASI PENERANGAN &amp; STOPKONTAK LANTAI 1 Berikut Armatur</t>
  </si>
  <si>
    <t>JUMLAH INSTALASI TOILET</t>
  </si>
  <si>
    <t>JUMLAH PEMASANGAN INSTALASI CCTV LANTAI DASAR</t>
  </si>
  <si>
    <t>JUMLAH PEMASANGAN INSTALASI CCTV LANTAI 1</t>
  </si>
  <si>
    <t>PEMASANGAN INSTALASI CCTV LANTAI 1</t>
  </si>
  <si>
    <t>JUMLAH PEMASANGAN INSTALASI FIRE ALARM LANTAI 1, TAMAN PARKING &amp; LANTAI 2</t>
  </si>
  <si>
    <t>JUMLAH PEMASANGAN INSTALASI TATA SUARA LANTAI 1 &amp; LANTAI 2</t>
  </si>
  <si>
    <t>JUMLAH PEMASANGAN INSTALASI Kabel Utp Data LANTAI 1 &amp; LANTAI 2</t>
  </si>
  <si>
    <t>PEKERJAAN</t>
  </si>
  <si>
    <t>LOKASI</t>
  </si>
  <si>
    <t>: JL. HR. RASUNA SAID KAV. C2 JAKARTA SELATAN</t>
  </si>
  <si>
    <t xml:space="preserve">TAHUN </t>
  </si>
  <si>
    <t xml:space="preserve"> (Rp.)</t>
  </si>
  <si>
    <t>6 = (4X5)</t>
  </si>
  <si>
    <t>PEKERJAAN ARSITEKTUR</t>
  </si>
  <si>
    <t>A.</t>
  </si>
  <si>
    <t>PEKERJAAN PERSIAPAN</t>
  </si>
  <si>
    <t>Mobilisasi dan demobilisasi</t>
  </si>
  <si>
    <t>Pengukuran &amp; pasang papan acuan bouwplank</t>
  </si>
  <si>
    <t>Papan nama proyek</t>
  </si>
  <si>
    <t>Fasilitas Konstruksi dan Pengendalian Sementara</t>
  </si>
  <si>
    <t xml:space="preserve">Pembersihan lokasi kerja sebelum, selama dan sesudah </t>
  </si>
  <si>
    <t>m²</t>
  </si>
  <si>
    <t>proyek berlangsung.</t>
  </si>
  <si>
    <t>Buang tanah / puing keluar lokasi</t>
  </si>
  <si>
    <t>Kantor Lapangan / Direksi Kit</t>
  </si>
  <si>
    <t xml:space="preserve">Gudang Bahan dan Los kerja </t>
  </si>
  <si>
    <t>Fasilitas Air dan listrik kerja sementara</t>
  </si>
  <si>
    <t>Pek.Pas.Pagar Pengaman t. 1.8 m</t>
  </si>
  <si>
    <t>Biaya K3 (Asuransi dan alat keselamatan) rincian terlampir</t>
  </si>
  <si>
    <t>As Builtdrawing, Shopdrawing dan Dokumentasi</t>
  </si>
  <si>
    <t>Pekerjaan bongkar atap membran</t>
  </si>
  <si>
    <t>Sewa crane 3 ton</t>
  </si>
  <si>
    <t>JUMLAH PEKERJAAN PERSIAPAN</t>
  </si>
  <si>
    <t>PEK. SIPIL ARSITEKTUR</t>
  </si>
  <si>
    <t>Dinding Hebel ( Toilet + R. Manajemen ) dim. 10x20x60</t>
  </si>
  <si>
    <t>m2</t>
  </si>
  <si>
    <t>Plester dinding ( Toilet + R. Manajemen ) ex. Mortar Mu-301</t>
  </si>
  <si>
    <t>Acian Dinding ( R. Manajemen ) ex. Mortar Mu-200</t>
  </si>
  <si>
    <t>Rangka Baja Ringan Dinding 70x50 C.75</t>
  </si>
  <si>
    <t>Pu Foam Insulation(Plafond)BARB Spray2005 Ex. IPU Tebal 2.5 cm</t>
  </si>
  <si>
    <t xml:space="preserve">Plafond Gypsum Toilet + Manajemen </t>
  </si>
  <si>
    <t>- Rangka Plafond baja ringan  40x40 0,3mm</t>
  </si>
  <si>
    <t>- Gypsum board ex. Jayaboard 9mm</t>
  </si>
  <si>
    <t xml:space="preserve">Plafond Gypsum Aula </t>
  </si>
  <si>
    <t>- Rangka Plafond baja ringan  40x40  0,3mm</t>
  </si>
  <si>
    <t>Pengecatan Plafond</t>
  </si>
  <si>
    <t xml:space="preserve">Plafond HPL </t>
  </si>
  <si>
    <t>- Rangka Besi Perkuatan tambahan dan penggantung 30x60mm 1,3mm modul 120x240cm + Penggantung 3 meter</t>
  </si>
  <si>
    <t>- Multiplex 9mm fin. HPL ex. Carta CT-5264 T &amp; CT-5266 T</t>
  </si>
  <si>
    <t>Lisplank ex. Seven Aluminium Composite</t>
  </si>
  <si>
    <t>Zq</t>
  </si>
  <si>
    <t>- Single pipe 3inch Fin. Duco</t>
  </si>
  <si>
    <t>- Aluminium Composite ex. Seven + Rangka Besi Siku 30x30mm tebal 2,2mm</t>
  </si>
  <si>
    <t>Railing Besi Koridor + Tangga Utama Fin. Epoxy ( Cat Dasar )</t>
  </si>
  <si>
    <r>
      <t xml:space="preserve"> - Balustrade pipa bulat </t>
    </r>
    <r>
      <rPr>
        <sz val="10"/>
        <rFont val="Calibri"/>
        <family val="2"/>
      </rPr>
      <t>½</t>
    </r>
    <r>
      <rPr>
        <sz val="8.5"/>
        <rFont val="Arial"/>
        <family val="2"/>
      </rPr>
      <t xml:space="preserve">inci 1,1mm </t>
    </r>
  </si>
  <si>
    <t xml:space="preserve"> - Ornamen hollow kotak 30x30   1,3mm Tinggi:15cm</t>
  </si>
  <si>
    <t xml:space="preserve"> - Finishing epoxy (cat dasar)</t>
  </si>
  <si>
    <t xml:space="preserve"> - Handrail merbabu dan finishing di tahap 2</t>
  </si>
  <si>
    <t xml:space="preserve">Talang air Stainless </t>
  </si>
  <si>
    <t>- Plat Stainless 0,4mm</t>
  </si>
  <si>
    <t>- Rangka Besi Siku 40x40mm tebal 2,5mm</t>
  </si>
  <si>
    <t>Sumur Resapan</t>
  </si>
  <si>
    <t>titik</t>
  </si>
  <si>
    <t>JUMLAH PEKERJAAN SIPIL ARSITEKTUR</t>
  </si>
  <si>
    <t>JUMLAH PEKERJAAN ARSITEKTUR</t>
  </si>
  <si>
    <t xml:space="preserve">II. </t>
  </si>
  <si>
    <t>PONDASI DAN STRUKTUR</t>
  </si>
  <si>
    <t>PEKERJAAN TANAH</t>
  </si>
  <si>
    <t>Galian Pondasi</t>
  </si>
  <si>
    <r>
      <t>m</t>
    </r>
    <r>
      <rPr>
        <vertAlign val="superscript"/>
        <sz val="10"/>
        <rFont val="Arial"/>
        <family val="2"/>
      </rPr>
      <t>3</t>
    </r>
  </si>
  <si>
    <t>Pasir Urug, t = 10 cm</t>
  </si>
  <si>
    <t>Lantai Kerja, t = 5 cm</t>
  </si>
  <si>
    <t>JUMLAH PEKERJAAN TANAH</t>
  </si>
  <si>
    <t>PEKERJAAN PONDASI</t>
  </si>
  <si>
    <t>Pekerjaan Tiang Pancang</t>
  </si>
  <si>
    <t>- Pemancangan dengan Injection Pile</t>
  </si>
  <si>
    <t>- Pemotongan kepala tiang pancang</t>
  </si>
  <si>
    <t>- Pekerjaan sambungan (1 kali sambungan)</t>
  </si>
  <si>
    <t xml:space="preserve">  - Test PDA</t>
  </si>
  <si>
    <t>Pile cap P1/P1A 1.5x1.5x0.85</t>
  </si>
  <si>
    <t>- Beton K-350</t>
  </si>
  <si>
    <t xml:space="preserve">- Pembesian </t>
  </si>
  <si>
    <t>kg</t>
  </si>
  <si>
    <t>- Bekisting pondasi</t>
  </si>
  <si>
    <r>
      <t>m</t>
    </r>
    <r>
      <rPr>
        <vertAlign val="superscript"/>
        <sz val="10"/>
        <rFont val="Arial"/>
        <family val="2"/>
      </rPr>
      <t>2</t>
    </r>
  </si>
  <si>
    <t>Pile cap P2 2,25x1.8x0.85</t>
  </si>
  <si>
    <t>Pile cap P3/P3A 2,25x2,25x0.9</t>
  </si>
  <si>
    <t>Pile cap P4 2,5x2.5x0.9</t>
  </si>
  <si>
    <t>Pile cap P5 3,0x2.5x0.9</t>
  </si>
  <si>
    <t>JUMLAH PEKERJAAN PONDASI</t>
  </si>
  <si>
    <t>PEKERJAAN LOWER STRUKTUR</t>
  </si>
  <si>
    <t>Tie beam TB1 30/50</t>
  </si>
  <si>
    <t>- Bekisting balok</t>
  </si>
  <si>
    <t>Pedestal  750/750</t>
  </si>
  <si>
    <t>- Bekisting Kolom</t>
  </si>
  <si>
    <t>- Plat t= 20mm</t>
  </si>
  <si>
    <t>Kg</t>
  </si>
  <si>
    <t>Pedestal  900/900</t>
  </si>
  <si>
    <t>JUMLAH PEKERJAAN LOWER STRUKTUR</t>
  </si>
  <si>
    <t>D.</t>
  </si>
  <si>
    <t>PEKERJAAN UPPER STRUKTUR</t>
  </si>
  <si>
    <t>Kolom DIA. 70</t>
  </si>
  <si>
    <t>- Angkur M-22, inc; Baut</t>
  </si>
  <si>
    <t>Kolom Praktis</t>
  </si>
  <si>
    <t>Beton k-250</t>
  </si>
  <si>
    <t>m3</t>
  </si>
  <si>
    <t>Pembesian</t>
  </si>
  <si>
    <t>Bekisting</t>
  </si>
  <si>
    <t xml:space="preserve">Plat Lantai Cor </t>
  </si>
  <si>
    <t>Beton K-350</t>
  </si>
  <si>
    <t>M10-2 Layer</t>
  </si>
  <si>
    <t>Bondek 0.75</t>
  </si>
  <si>
    <t>Pek. Baja</t>
  </si>
  <si>
    <t>HBEAM 350.350.12.19; Inc Plat + Las Angkur</t>
  </si>
  <si>
    <t>WF.250.125.6.9; Inc Plat + Las Angkur</t>
  </si>
  <si>
    <t>WF.300.150.6,5.9; Inc Plat + Las Angkur</t>
  </si>
  <si>
    <t>WF.400.200.8.13; Inc Plat + Las Angkur</t>
  </si>
  <si>
    <t>WF.600.200.11.17; Inc Plat + Las Angkur</t>
  </si>
  <si>
    <t>WF.600.300.12.20; Inc Plat + Las Angkur</t>
  </si>
  <si>
    <t>Angkur m22</t>
  </si>
  <si>
    <t>Mur Baut 22</t>
  </si>
  <si>
    <t>Mur Baut 19</t>
  </si>
  <si>
    <t>Tangga Utama (2 unit)</t>
  </si>
  <si>
    <t>- Beton Cor k.250</t>
  </si>
  <si>
    <t>- Bekisting tangga</t>
  </si>
  <si>
    <t>- Pembesian</t>
  </si>
  <si>
    <t>Pondasi Tangga</t>
  </si>
  <si>
    <t>- Bekisting Pondasi</t>
  </si>
  <si>
    <t>Tangga Service Manajemen (2 unit)</t>
  </si>
  <si>
    <t>Tangga Service Operator + Bordes</t>
  </si>
  <si>
    <t>- Besi Unp 100 fin. Epoxy cat dasar</t>
  </si>
  <si>
    <t>- Hollow 40x40mm tebal 1,6mm fin. Epoxy ( Cat dasar )</t>
  </si>
  <si>
    <t>- Multipleks Meranti 18mm</t>
  </si>
  <si>
    <t>- Finishing Besi Duco dan finishing kayu parquet di tahap 2</t>
  </si>
  <si>
    <t>Bak Bunga Beton</t>
  </si>
  <si>
    <t>- Bekisting</t>
  </si>
  <si>
    <t>JUMLAH PEKERJAAN UPPER STRUKTUR</t>
  </si>
  <si>
    <t>E.</t>
  </si>
  <si>
    <t>PEKERJAAN ATAP</t>
  </si>
  <si>
    <t>Atap spandek 0,4mm + Aluminium foil dua sisi + Poly Foam</t>
  </si>
  <si>
    <t>JUMLAH PEKERJAAN ATAP</t>
  </si>
  <si>
    <t>JUMLAH PEKERJAAN PONDASI DAN STRUKTUR</t>
  </si>
  <si>
    <t xml:space="preserve">REKAPITULASI </t>
  </si>
  <si>
    <t>PEKERJAAN ARSITEKTUR, PONDASI DAN STRUKTUR, ELEKTRIKAL, PLUMBING, SPRINKLE DAN TATA UDARA</t>
  </si>
  <si>
    <t>: JL. HR.RASUNA SAID KAV. C2 JAKARTA SELATAN</t>
  </si>
  <si>
    <t>TAHUN</t>
  </si>
  <si>
    <t>SUB JUMLAH</t>
  </si>
  <si>
    <t>(Rp.)</t>
  </si>
  <si>
    <t>PAJAK 11%</t>
  </si>
  <si>
    <t>Terbilang  :</t>
  </si>
  <si>
    <t>- Pengadaan Tiang Pancang Triangel Pile 300 mm (L=8m, 44 titik)</t>
  </si>
  <si>
    <t>Pek. Atap Cremona besi pipa medium 2 inch t = 2.9 mm dan 3 inch t = 3.2 mm, fin. Duco ( Rangka Atap Bangunan  )</t>
  </si>
  <si>
    <t>Rangka Baja ringan ( Atap ruang operator )</t>
  </si>
  <si>
    <t>BILLING OF QUANTITY</t>
  </si>
  <si>
    <t>(BOQ)</t>
  </si>
  <si>
    <t>JUMLAH (I+II_+III+IV)</t>
  </si>
  <si>
    <t xml:space="preserve">- Mobilisasi Alat Pancang </t>
  </si>
  <si>
    <t>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</si>
</sst>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_-* #,##0_-;\-* #,##0_-;_-* &quot;-&quot;??_-;_-@_-"/>
    <numFmt numFmtId="170" formatCode="0.0"/>
    <numFmt numFmtId="171" formatCode="0."/>
    <numFmt numFmtId="172" formatCode="0_);\(0\)"/>
  </numFmts>
  <fonts count="4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0"/>
      <name val="Times New Roman"/>
      <family val="1"/>
    </font>
    <font>
      <sz val="10"/>
      <name val="Nebraska"/>
    </font>
    <font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134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1"/>
      <color theme="1"/>
      <name val="Courier New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 Narrow"/>
      <family val="2"/>
      <charset val="1"/>
    </font>
    <font>
      <b/>
      <sz val="13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sz val="10"/>
      <name val="Calibri"/>
      <family val="2"/>
    </font>
    <font>
      <sz val="8.5"/>
      <name val="Arial"/>
      <family val="2"/>
    </font>
    <font>
      <sz val="12"/>
      <color indexed="10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sz val="19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1F1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gray125"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2">
    <xf numFmtId="0" fontId="0" fillId="0" borderId="0"/>
    <xf numFmtId="165" fontId="6" fillId="0" borderId="0" applyFont="0" applyFill="0" applyBorder="0" applyAlignment="0" applyProtection="0"/>
    <xf numFmtId="166" fontId="9" fillId="0" borderId="0">
      <alignment vertical="top"/>
      <protection locked="0"/>
    </xf>
    <xf numFmtId="0" fontId="10" fillId="0" borderId="0"/>
    <xf numFmtId="166" fontId="10" fillId="0" borderId="0" applyFont="0" applyFill="0" applyBorder="0" applyAlignment="0" applyProtection="0"/>
    <xf numFmtId="0" fontId="6" fillId="0" borderId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>
      <alignment vertical="center"/>
    </xf>
    <xf numFmtId="0" fontId="14" fillId="0" borderId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54" applyProtection="0"/>
    <xf numFmtId="166" fontId="30" fillId="0" borderId="0"/>
    <xf numFmtId="164" fontId="11" fillId="0" borderId="0" applyFont="0" applyFill="0" applyBorder="0" applyAlignment="0" applyProtection="0"/>
    <xf numFmtId="166" fontId="11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11" fillId="0" borderId="0"/>
    <xf numFmtId="0" fontId="34" fillId="0" borderId="0"/>
    <xf numFmtId="166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</cellStyleXfs>
  <cellXfs count="814">
    <xf numFmtId="0" fontId="0" fillId="0" borderId="0" xfId="0"/>
    <xf numFmtId="0" fontId="0" fillId="0" borderId="0" xfId="0" applyFill="1"/>
    <xf numFmtId="0" fontId="0" fillId="2" borderId="0" xfId="0" applyFill="1"/>
    <xf numFmtId="165" fontId="0" fillId="0" borderId="0" xfId="1" applyFont="1" applyFill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13" applyFont="1" applyFill="1" applyBorder="1" applyAlignment="1">
      <alignment horizontal="left" vertical="center"/>
    </xf>
    <xf numFmtId="0" fontId="5" fillId="0" borderId="12" xfId="13" applyFont="1" applyFill="1" applyBorder="1" applyAlignment="1">
      <alignment horizontal="left" vertical="center"/>
    </xf>
    <xf numFmtId="0" fontId="5" fillId="0" borderId="12" xfId="13" applyFont="1" applyFill="1" applyBorder="1" applyAlignment="1">
      <alignment vertical="center"/>
    </xf>
    <xf numFmtId="0" fontId="5" fillId="0" borderId="12" xfId="13" applyFont="1" applyFill="1" applyBorder="1" applyAlignment="1">
      <alignment horizontal="center" vertical="center"/>
    </xf>
    <xf numFmtId="0" fontId="5" fillId="0" borderId="12" xfId="13" applyFont="1" applyFill="1" applyBorder="1" applyAlignment="1">
      <alignment horizontal="right" vertical="center"/>
    </xf>
    <xf numFmtId="167" fontId="5" fillId="0" borderId="12" xfId="14" applyNumberFormat="1" applyFont="1" applyFill="1" applyBorder="1" applyAlignment="1">
      <alignment horizontal="left" vertical="center"/>
    </xf>
    <xf numFmtId="0" fontId="7" fillId="6" borderId="13" xfId="13" applyFont="1" applyFill="1" applyBorder="1" applyAlignment="1">
      <alignment horizontal="center" vertical="center"/>
    </xf>
    <xf numFmtId="0" fontId="7" fillId="6" borderId="13" xfId="13" applyFont="1" applyFill="1" applyBorder="1" applyAlignment="1">
      <alignment vertical="center"/>
    </xf>
    <xf numFmtId="167" fontId="7" fillId="6" borderId="13" xfId="14" applyNumberFormat="1" applyFont="1" applyFill="1" applyBorder="1" applyAlignment="1">
      <alignment horizontal="right" vertical="center" wrapText="1"/>
    </xf>
    <xf numFmtId="167" fontId="7" fillId="6" borderId="13" xfId="14" applyNumberFormat="1" applyFont="1" applyFill="1" applyBorder="1" applyAlignment="1">
      <alignment horizontal="center" vertical="center" wrapText="1"/>
    </xf>
    <xf numFmtId="0" fontId="7" fillId="0" borderId="14" xfId="13" applyFont="1" applyFill="1" applyBorder="1" applyAlignment="1">
      <alignment horizontal="center" vertical="center"/>
    </xf>
    <xf numFmtId="0" fontId="7" fillId="0" borderId="14" xfId="13" applyFont="1" applyFill="1" applyBorder="1" applyAlignment="1">
      <alignment vertical="center"/>
    </xf>
    <xf numFmtId="0" fontId="15" fillId="0" borderId="14" xfId="13" applyFont="1" applyFill="1" applyBorder="1" applyAlignment="1">
      <alignment horizontal="center" vertical="center"/>
    </xf>
    <xf numFmtId="0" fontId="15" fillId="0" borderId="14" xfId="13" applyFont="1" applyFill="1" applyBorder="1" applyAlignment="1">
      <alignment horizontal="right" vertical="center"/>
    </xf>
    <xf numFmtId="167" fontId="15" fillId="0" borderId="14" xfId="14" applyNumberFormat="1" applyFont="1" applyFill="1" applyBorder="1" applyAlignment="1">
      <alignment horizontal="center" vertical="center" wrapText="1"/>
    </xf>
    <xf numFmtId="0" fontId="7" fillId="0" borderId="13" xfId="13" applyFont="1" applyFill="1" applyBorder="1" applyAlignment="1">
      <alignment horizontal="center" vertical="center"/>
    </xf>
    <xf numFmtId="0" fontId="7" fillId="0" borderId="13" xfId="13" applyFont="1" applyFill="1" applyBorder="1" applyAlignment="1">
      <alignment vertical="center"/>
    </xf>
    <xf numFmtId="0" fontId="15" fillId="0" borderId="13" xfId="13" applyFont="1" applyFill="1" applyBorder="1" applyAlignment="1">
      <alignment horizontal="center" vertical="center"/>
    </xf>
    <xf numFmtId="0" fontId="15" fillId="0" borderId="13" xfId="13" applyFont="1" applyFill="1" applyBorder="1" applyAlignment="1">
      <alignment horizontal="right" vertical="center"/>
    </xf>
    <xf numFmtId="167" fontId="15" fillId="0" borderId="13" xfId="14" applyNumberFormat="1" applyFont="1" applyFill="1" applyBorder="1" applyAlignment="1">
      <alignment horizontal="center" vertical="center" wrapText="1"/>
    </xf>
    <xf numFmtId="1" fontId="15" fillId="0" borderId="13" xfId="13" applyNumberFormat="1" applyFont="1" applyFill="1" applyBorder="1" applyAlignment="1">
      <alignment horizontal="center" vertical="center" shrinkToFit="1"/>
    </xf>
    <xf numFmtId="0" fontId="5" fillId="0" borderId="13" xfId="13" applyFont="1" applyFill="1" applyBorder="1" applyAlignment="1">
      <alignment vertical="center"/>
    </xf>
    <xf numFmtId="2" fontId="15" fillId="0" borderId="13" xfId="13" applyNumberFormat="1" applyFont="1" applyFill="1" applyBorder="1" applyAlignment="1">
      <alignment horizontal="center" vertical="center" shrinkToFit="1"/>
    </xf>
    <xf numFmtId="0" fontId="5" fillId="0" borderId="13" xfId="13" applyFont="1" applyFill="1" applyBorder="1" applyAlignment="1">
      <alignment horizontal="center" vertical="center"/>
    </xf>
    <xf numFmtId="167" fontId="5" fillId="0" borderId="13" xfId="13" applyNumberFormat="1" applyFont="1" applyFill="1" applyBorder="1" applyAlignment="1">
      <alignment horizontal="right" vertical="center"/>
    </xf>
    <xf numFmtId="167" fontId="5" fillId="0" borderId="13" xfId="13" applyNumberFormat="1" applyFont="1" applyFill="1" applyBorder="1" applyAlignment="1">
      <alignment horizontal="center" vertical="center"/>
    </xf>
    <xf numFmtId="167" fontId="5" fillId="0" borderId="13" xfId="14" applyNumberFormat="1" applyFont="1" applyFill="1" applyBorder="1" applyAlignment="1">
      <alignment horizontal="center" vertical="center" wrapText="1"/>
    </xf>
    <xf numFmtId="167" fontId="15" fillId="0" borderId="0" xfId="13" applyNumberFormat="1" applyFont="1" applyFill="1" applyBorder="1" applyAlignment="1">
      <alignment horizontal="left" vertical="center"/>
    </xf>
    <xf numFmtId="166" fontId="5" fillId="0" borderId="13" xfId="13" applyNumberFormat="1" applyFont="1" applyFill="1" applyBorder="1" applyAlignment="1">
      <alignment horizontal="center" vertical="center"/>
    </xf>
    <xf numFmtId="0" fontId="15" fillId="7" borderId="13" xfId="13" applyFont="1" applyFill="1" applyBorder="1" applyAlignment="1">
      <alignment horizontal="center" vertical="center"/>
    </xf>
    <xf numFmtId="0" fontId="15" fillId="7" borderId="15" xfId="13" applyFont="1" applyFill="1" applyBorder="1" applyAlignment="1">
      <alignment vertical="center"/>
    </xf>
    <xf numFmtId="0" fontId="5" fillId="7" borderId="15" xfId="13" applyFont="1" applyFill="1" applyBorder="1" applyAlignment="1">
      <alignment horizontal="center" vertical="center"/>
    </xf>
    <xf numFmtId="0" fontId="5" fillId="7" borderId="15" xfId="13" applyFont="1" applyFill="1" applyBorder="1" applyAlignment="1">
      <alignment horizontal="right" vertical="center"/>
    </xf>
    <xf numFmtId="167" fontId="7" fillId="7" borderId="15" xfId="13" applyNumberFormat="1" applyFont="1" applyFill="1" applyBorder="1" applyAlignment="1">
      <alignment horizontal="center" vertical="center"/>
    </xf>
    <xf numFmtId="167" fontId="7" fillId="7" borderId="16" xfId="14" applyNumberFormat="1" applyFont="1" applyFill="1" applyBorder="1" applyAlignment="1">
      <alignment horizontal="center" vertical="center" wrapText="1"/>
    </xf>
    <xf numFmtId="169" fontId="5" fillId="0" borderId="13" xfId="13" applyNumberFormat="1" applyFont="1" applyFill="1" applyBorder="1" applyAlignment="1">
      <alignment horizontal="center" vertical="center"/>
    </xf>
    <xf numFmtId="0" fontId="15" fillId="0" borderId="13" xfId="13" applyFont="1" applyFill="1" applyBorder="1" applyAlignment="1">
      <alignment horizontal="center" vertical="center" wrapText="1"/>
    </xf>
    <xf numFmtId="0" fontId="5" fillId="0" borderId="17" xfId="13" applyFont="1" applyFill="1" applyBorder="1" applyAlignment="1">
      <alignment vertical="center" wrapText="1"/>
    </xf>
    <xf numFmtId="0" fontId="5" fillId="0" borderId="13" xfId="13" applyFont="1" applyFill="1" applyBorder="1" applyAlignment="1">
      <alignment horizontal="center" vertical="center" wrapText="1"/>
    </xf>
    <xf numFmtId="0" fontId="15" fillId="0" borderId="13" xfId="13" applyFont="1" applyFill="1" applyBorder="1" applyAlignment="1">
      <alignment horizontal="right" vertical="center" wrapText="1"/>
    </xf>
    <xf numFmtId="169" fontId="5" fillId="0" borderId="13" xfId="13" applyNumberFormat="1" applyFont="1" applyFill="1" applyBorder="1" applyAlignment="1">
      <alignment horizontal="center" vertical="center" wrapText="1"/>
    </xf>
    <xf numFmtId="43" fontId="5" fillId="0" borderId="13" xfId="13" applyNumberFormat="1" applyFont="1" applyFill="1" applyBorder="1" applyAlignment="1">
      <alignment horizontal="center" vertical="center" wrapText="1"/>
    </xf>
    <xf numFmtId="169" fontId="5" fillId="0" borderId="13" xfId="13" applyNumberFormat="1" applyFont="1" applyFill="1" applyBorder="1" applyAlignment="1">
      <alignment horizontal="right" vertical="center" wrapText="1"/>
    </xf>
    <xf numFmtId="0" fontId="7" fillId="0" borderId="13" xfId="13" applyFont="1" applyFill="1" applyBorder="1" applyAlignment="1">
      <alignment horizontal="center" vertical="center" wrapText="1"/>
    </xf>
    <xf numFmtId="0" fontId="7" fillId="0" borderId="17" xfId="13" applyFont="1" applyFill="1" applyBorder="1" applyAlignment="1">
      <alignment vertical="center" wrapText="1"/>
    </xf>
    <xf numFmtId="0" fontId="7" fillId="0" borderId="18" xfId="13" applyFont="1" applyFill="1" applyBorder="1" applyAlignment="1">
      <alignment horizontal="center" vertical="center" wrapText="1"/>
    </xf>
    <xf numFmtId="0" fontId="7" fillId="0" borderId="18" xfId="13" applyFont="1" applyFill="1" applyBorder="1" applyAlignment="1">
      <alignment horizontal="right" vertical="center" wrapText="1"/>
    </xf>
    <xf numFmtId="167" fontId="7" fillId="0" borderId="18" xfId="14" applyNumberFormat="1" applyFont="1" applyFill="1" applyBorder="1" applyAlignment="1">
      <alignment horizontal="center" vertical="center" wrapText="1"/>
    </xf>
    <xf numFmtId="167" fontId="7" fillId="0" borderId="19" xfId="14" applyNumberFormat="1" applyFont="1" applyFill="1" applyBorder="1" applyAlignment="1">
      <alignment horizontal="center" vertical="center" wrapText="1"/>
    </xf>
    <xf numFmtId="167" fontId="5" fillId="0" borderId="13" xfId="13" applyNumberFormat="1" applyFont="1" applyFill="1" applyBorder="1" applyAlignment="1">
      <alignment horizontal="right" vertical="center" wrapText="1"/>
    </xf>
    <xf numFmtId="0" fontId="5" fillId="0" borderId="13" xfId="13" applyFont="1" applyFill="1" applyBorder="1" applyAlignment="1">
      <alignment horizontal="right" vertical="center" wrapText="1"/>
    </xf>
    <xf numFmtId="0" fontId="5" fillId="0" borderId="19" xfId="13" applyFont="1" applyFill="1" applyBorder="1" applyAlignment="1">
      <alignment horizontal="center" vertical="center" wrapText="1"/>
    </xf>
    <xf numFmtId="1" fontId="15" fillId="0" borderId="20" xfId="13" applyNumberFormat="1" applyFont="1" applyFill="1" applyBorder="1" applyAlignment="1">
      <alignment horizontal="center" vertical="center" shrinkToFit="1"/>
    </xf>
    <xf numFmtId="0" fontId="5" fillId="0" borderId="21" xfId="13" applyFont="1" applyFill="1" applyBorder="1" applyAlignment="1">
      <alignment vertical="center" wrapText="1"/>
    </xf>
    <xf numFmtId="2" fontId="15" fillId="0" borderId="20" xfId="13" applyNumberFormat="1" applyFont="1" applyFill="1" applyBorder="1" applyAlignment="1">
      <alignment horizontal="center" vertical="center" shrinkToFit="1"/>
    </xf>
    <xf numFmtId="0" fontId="5" fillId="0" borderId="20" xfId="13" applyFont="1" applyFill="1" applyBorder="1" applyAlignment="1">
      <alignment horizontal="center" vertical="center" wrapText="1"/>
    </xf>
    <xf numFmtId="169" fontId="5" fillId="0" borderId="20" xfId="13" applyNumberFormat="1" applyFont="1" applyFill="1" applyBorder="1" applyAlignment="1">
      <alignment horizontal="right" vertical="center" wrapText="1"/>
    </xf>
    <xf numFmtId="43" fontId="5" fillId="0" borderId="20" xfId="13" applyNumberFormat="1" applyFont="1" applyFill="1" applyBorder="1" applyAlignment="1">
      <alignment horizontal="center" vertical="center" wrapText="1"/>
    </xf>
    <xf numFmtId="167" fontId="5" fillId="0" borderId="20" xfId="14" applyNumberFormat="1" applyFont="1" applyFill="1" applyBorder="1" applyAlignment="1">
      <alignment horizontal="center" vertical="center" wrapText="1"/>
    </xf>
    <xf numFmtId="0" fontId="15" fillId="7" borderId="22" xfId="13" applyFont="1" applyFill="1" applyBorder="1" applyAlignment="1">
      <alignment horizontal="center" vertical="center"/>
    </xf>
    <xf numFmtId="167" fontId="5" fillId="7" borderId="16" xfId="14" applyNumberFormat="1" applyFont="1" applyFill="1" applyBorder="1" applyAlignment="1">
      <alignment horizontal="center" vertical="center" wrapText="1"/>
    </xf>
    <xf numFmtId="0" fontId="7" fillId="0" borderId="14" xfId="13" applyFont="1" applyFill="1" applyBorder="1" applyAlignment="1">
      <alignment horizontal="center" vertical="center" wrapText="1"/>
    </xf>
    <xf numFmtId="0" fontId="7" fillId="0" borderId="23" xfId="13" applyFont="1" applyFill="1" applyBorder="1" applyAlignment="1">
      <alignment vertical="center" wrapText="1"/>
    </xf>
    <xf numFmtId="0" fontId="7" fillId="0" borderId="12" xfId="13" applyFont="1" applyFill="1" applyBorder="1" applyAlignment="1">
      <alignment horizontal="center" vertical="center" wrapText="1"/>
    </xf>
    <xf numFmtId="0" fontId="7" fillId="0" borderId="12" xfId="13" applyFont="1" applyFill="1" applyBorder="1" applyAlignment="1">
      <alignment horizontal="right" vertical="center" wrapText="1"/>
    </xf>
    <xf numFmtId="167" fontId="7" fillId="0" borderId="12" xfId="14" applyNumberFormat="1" applyFont="1" applyFill="1" applyBorder="1" applyAlignment="1">
      <alignment horizontal="center" vertical="center" wrapText="1"/>
    </xf>
    <xf numFmtId="167" fontId="7" fillId="0" borderId="24" xfId="14" applyNumberFormat="1" applyFont="1" applyFill="1" applyBorder="1" applyAlignment="1">
      <alignment horizontal="center" vertical="center" wrapText="1"/>
    </xf>
    <xf numFmtId="167" fontId="5" fillId="0" borderId="13" xfId="13" applyNumberFormat="1" applyFont="1" applyFill="1" applyBorder="1" applyAlignment="1">
      <alignment horizontal="center" vertical="center" wrapText="1"/>
    </xf>
    <xf numFmtId="170" fontId="15" fillId="0" borderId="13" xfId="13" applyNumberFormat="1" applyFont="1" applyFill="1" applyBorder="1" applyAlignment="1">
      <alignment horizontal="center" vertical="center" shrinkToFit="1"/>
    </xf>
    <xf numFmtId="167" fontId="5" fillId="0" borderId="20" xfId="13" applyNumberFormat="1" applyFont="1" applyFill="1" applyBorder="1" applyAlignment="1">
      <alignment horizontal="right" vertical="center" wrapText="1"/>
    </xf>
    <xf numFmtId="0" fontId="15" fillId="0" borderId="14" xfId="13" applyFont="1" applyFill="1" applyBorder="1" applyAlignment="1">
      <alignment horizontal="center" vertical="center" wrapText="1"/>
    </xf>
    <xf numFmtId="0" fontId="15" fillId="0" borderId="23" xfId="13" applyFont="1" applyFill="1" applyBorder="1" applyAlignment="1">
      <alignment vertical="center" wrapText="1"/>
    </xf>
    <xf numFmtId="167" fontId="7" fillId="6" borderId="14" xfId="14" applyNumberFormat="1" applyFont="1" applyFill="1" applyBorder="1" applyAlignment="1">
      <alignment horizontal="center" vertical="center" wrapText="1"/>
    </xf>
    <xf numFmtId="169" fontId="15" fillId="0" borderId="0" xfId="13" applyNumberFormat="1" applyFont="1" applyFill="1" applyBorder="1" applyAlignment="1">
      <alignment horizontal="center" vertical="center"/>
    </xf>
    <xf numFmtId="0" fontId="5" fillId="0" borderId="13" xfId="13" applyFont="1" applyFill="1" applyBorder="1" applyAlignment="1">
      <alignment vertical="center" wrapText="1"/>
    </xf>
    <xf numFmtId="0" fontId="15" fillId="0" borderId="13" xfId="13" applyFont="1" applyFill="1" applyBorder="1" applyAlignment="1">
      <alignment vertical="center" wrapText="1"/>
    </xf>
    <xf numFmtId="0" fontId="7" fillId="0" borderId="13" xfId="13" applyFont="1" applyFill="1" applyBorder="1" applyAlignment="1">
      <alignment vertical="center" wrapText="1"/>
    </xf>
    <xf numFmtId="0" fontId="5" fillId="0" borderId="20" xfId="13" applyFont="1" applyFill="1" applyBorder="1" applyAlignment="1">
      <alignment vertical="center" wrapText="1"/>
    </xf>
    <xf numFmtId="167" fontId="5" fillId="0" borderId="20" xfId="13" applyNumberFormat="1" applyFont="1" applyFill="1" applyBorder="1" applyAlignment="1">
      <alignment horizontal="right" vertical="center"/>
    </xf>
    <xf numFmtId="0" fontId="7" fillId="0" borderId="14" xfId="13" applyFont="1" applyFill="1" applyBorder="1" applyAlignment="1">
      <alignment vertical="center" wrapText="1"/>
    </xf>
    <xf numFmtId="0" fontId="15" fillId="0" borderId="14" xfId="13" applyFont="1" applyFill="1" applyBorder="1" applyAlignment="1">
      <alignment horizontal="right" vertical="center" wrapText="1"/>
    </xf>
    <xf numFmtId="169" fontId="5" fillId="0" borderId="14" xfId="13" applyNumberFormat="1" applyFont="1" applyFill="1" applyBorder="1" applyAlignment="1">
      <alignment horizontal="center" vertical="center" wrapText="1"/>
    </xf>
    <xf numFmtId="3" fontId="5" fillId="0" borderId="13" xfId="13" applyNumberFormat="1" applyFont="1" applyFill="1" applyBorder="1" applyAlignment="1">
      <alignment horizontal="right" vertical="center" wrapText="1"/>
    </xf>
    <xf numFmtId="0" fontId="15" fillId="3" borderId="22" xfId="13" applyFont="1" applyFill="1" applyBorder="1" applyAlignment="1">
      <alignment horizontal="center" vertical="center"/>
    </xf>
    <xf numFmtId="0" fontId="15" fillId="3" borderId="15" xfId="13" applyFont="1" applyFill="1" applyBorder="1" applyAlignment="1">
      <alignment vertical="center"/>
    </xf>
    <xf numFmtId="0" fontId="5" fillId="3" borderId="15" xfId="13" applyFont="1" applyFill="1" applyBorder="1" applyAlignment="1">
      <alignment horizontal="center" vertical="center"/>
    </xf>
    <xf numFmtId="0" fontId="7" fillId="3" borderId="15" xfId="13" applyFont="1" applyFill="1" applyBorder="1" applyAlignment="1">
      <alignment horizontal="right" vertical="center"/>
    </xf>
    <xf numFmtId="167" fontId="7" fillId="3" borderId="15" xfId="13" applyNumberFormat="1" applyFont="1" applyFill="1" applyBorder="1" applyAlignment="1">
      <alignment horizontal="center" vertical="center"/>
    </xf>
    <xf numFmtId="0" fontId="7" fillId="3" borderId="15" xfId="13" applyFont="1" applyFill="1" applyBorder="1" applyAlignment="1">
      <alignment horizontal="center" vertical="center"/>
    </xf>
    <xf numFmtId="167" fontId="7" fillId="3" borderId="16" xfId="14" applyNumberFormat="1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vertical="center"/>
    </xf>
    <xf numFmtId="0" fontId="15" fillId="0" borderId="0" xfId="13" applyFont="1" applyFill="1" applyBorder="1" applyAlignment="1">
      <alignment horizontal="right" vertical="center"/>
    </xf>
    <xf numFmtId="167" fontId="15" fillId="0" borderId="0" xfId="14" applyNumberFormat="1" applyFont="1" applyFill="1" applyBorder="1" applyAlignment="1">
      <alignment horizontal="center" vertical="center" wrapText="1"/>
    </xf>
    <xf numFmtId="0" fontId="11" fillId="0" borderId="0" xfId="3" applyFont="1" applyFill="1"/>
    <xf numFmtId="0" fontId="11" fillId="0" borderId="0" xfId="3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0" fontId="18" fillId="0" borderId="0" xfId="3" applyFont="1" applyFill="1"/>
    <xf numFmtId="0" fontId="18" fillId="0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1" fillId="3" borderId="0" xfId="3" applyFont="1" applyFill="1"/>
    <xf numFmtId="0" fontId="5" fillId="8" borderId="9" xfId="3" applyFont="1" applyFill="1" applyBorder="1" applyAlignment="1">
      <alignment horizontal="right"/>
    </xf>
    <xf numFmtId="0" fontId="5" fillId="8" borderId="10" xfId="3" applyFont="1" applyFill="1" applyBorder="1"/>
    <xf numFmtId="0" fontId="5" fillId="8" borderId="10" xfId="3" applyFont="1" applyFill="1" applyBorder="1" applyAlignment="1">
      <alignment horizontal="center"/>
    </xf>
    <xf numFmtId="166" fontId="5" fillId="8" borderId="9" xfId="7" applyFont="1" applyFill="1" applyBorder="1" applyAlignment="1">
      <alignment horizontal="center"/>
    </xf>
    <xf numFmtId="167" fontId="5" fillId="8" borderId="9" xfId="6" applyNumberFormat="1" applyFont="1" applyFill="1" applyBorder="1"/>
    <xf numFmtId="167" fontId="5" fillId="8" borderId="9" xfId="8" applyNumberFormat="1" applyFont="1" applyFill="1" applyBorder="1"/>
    <xf numFmtId="0" fontId="5" fillId="8" borderId="10" xfId="3" quotePrefix="1" applyFont="1" applyFill="1" applyBorder="1"/>
    <xf numFmtId="2" fontId="5" fillId="8" borderId="9" xfId="3" applyNumberFormat="1" applyFont="1" applyFill="1" applyBorder="1" applyAlignment="1">
      <alignment horizontal="center"/>
    </xf>
    <xf numFmtId="167" fontId="5" fillId="8" borderId="11" xfId="8" applyNumberFormat="1" applyFont="1" applyFill="1" applyBorder="1"/>
    <xf numFmtId="2" fontId="5" fillId="8" borderId="9" xfId="3" applyNumberFormat="1" applyFont="1" applyFill="1" applyBorder="1" applyAlignment="1">
      <alignment horizontal="right"/>
    </xf>
    <xf numFmtId="0" fontId="5" fillId="0" borderId="0" xfId="3" applyFont="1"/>
    <xf numFmtId="167" fontId="5" fillId="0" borderId="0" xfId="3" applyNumberFormat="1" applyFont="1"/>
    <xf numFmtId="0" fontId="5" fillId="0" borderId="0" xfId="3" applyFont="1" applyFill="1"/>
    <xf numFmtId="0" fontId="5" fillId="0" borderId="0" xfId="3" applyFont="1" applyFill="1" applyAlignment="1">
      <alignment horizontal="center"/>
    </xf>
    <xf numFmtId="167" fontId="5" fillId="0" borderId="0" xfId="4" applyNumberFormat="1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164" fontId="1" fillId="0" borderId="34" xfId="0" applyNumberFormat="1" applyFont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64" fontId="2" fillId="0" borderId="37" xfId="0" applyNumberFormat="1" applyFont="1" applyFill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164" fontId="1" fillId="0" borderId="37" xfId="0" applyNumberFormat="1" applyFont="1" applyBorder="1" applyAlignment="1">
      <alignment vertical="center"/>
    </xf>
    <xf numFmtId="164" fontId="1" fillId="0" borderId="39" xfId="0" applyNumberFormat="1" applyFont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164" fontId="1" fillId="0" borderId="39" xfId="0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164" fontId="5" fillId="0" borderId="39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164" fontId="1" fillId="8" borderId="39" xfId="0" applyNumberFormat="1" applyFont="1" applyFill="1" applyBorder="1" applyAlignment="1">
      <alignment vertical="center"/>
    </xf>
    <xf numFmtId="0" fontId="1" fillId="8" borderId="37" xfId="0" applyFont="1" applyFill="1" applyBorder="1" applyAlignment="1">
      <alignment horizontal="center" vertical="center"/>
    </xf>
    <xf numFmtId="164" fontId="1" fillId="8" borderId="37" xfId="0" applyNumberFormat="1" applyFont="1" applyFill="1" applyBorder="1" applyAlignment="1">
      <alignment vertical="center"/>
    </xf>
    <xf numFmtId="164" fontId="2" fillId="8" borderId="37" xfId="0" applyNumberFormat="1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vertical="center"/>
    </xf>
    <xf numFmtId="164" fontId="2" fillId="8" borderId="37" xfId="0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9" borderId="0" xfId="0" applyFill="1"/>
    <xf numFmtId="0" fontId="2" fillId="9" borderId="37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vertical="center"/>
    </xf>
    <xf numFmtId="0" fontId="1" fillId="9" borderId="37" xfId="0" applyFont="1" applyFill="1" applyBorder="1" applyAlignment="1">
      <alignment horizontal="center" vertical="center"/>
    </xf>
    <xf numFmtId="164" fontId="2" fillId="9" borderId="37" xfId="0" applyNumberFormat="1" applyFont="1" applyFill="1" applyBorder="1" applyAlignment="1">
      <alignment vertical="center"/>
    </xf>
    <xf numFmtId="166" fontId="5" fillId="0" borderId="0" xfId="4" applyNumberFormat="1" applyFont="1" applyFill="1"/>
    <xf numFmtId="0" fontId="7" fillId="0" borderId="0" xfId="3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67" fontId="11" fillId="0" borderId="11" xfId="4" applyNumberFormat="1" applyFont="1" applyFill="1" applyBorder="1" applyAlignment="1">
      <alignment vertical="center"/>
    </xf>
    <xf numFmtId="0" fontId="11" fillId="0" borderId="9" xfId="3" applyFont="1" applyFill="1" applyBorder="1" applyAlignment="1">
      <alignment horizontal="right" vertical="center"/>
    </xf>
    <xf numFmtId="0" fontId="11" fillId="0" borderId="10" xfId="3" applyFont="1" applyFill="1" applyBorder="1" applyAlignment="1">
      <alignment vertical="center"/>
    </xf>
    <xf numFmtId="171" fontId="11" fillId="0" borderId="9" xfId="3" applyNumberFormat="1" applyFont="1" applyFill="1" applyBorder="1" applyAlignment="1">
      <alignment horizontal="right" vertical="center"/>
    </xf>
    <xf numFmtId="2" fontId="11" fillId="0" borderId="9" xfId="3" applyNumberFormat="1" applyFont="1" applyFill="1" applyBorder="1" applyAlignment="1">
      <alignment horizontal="center" vertical="center"/>
    </xf>
    <xf numFmtId="166" fontId="11" fillId="0" borderId="9" xfId="7" applyFont="1" applyFill="1" applyBorder="1" applyAlignment="1">
      <alignment horizontal="center" vertical="center"/>
    </xf>
    <xf numFmtId="166" fontId="11" fillId="0" borderId="3" xfId="7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right" vertical="center"/>
    </xf>
    <xf numFmtId="167" fontId="11" fillId="0" borderId="0" xfId="3" applyNumberFormat="1" applyFont="1" applyFill="1"/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0" fillId="9" borderId="0" xfId="0" applyFill="1" applyAlignment="1">
      <alignment vertical="center"/>
    </xf>
    <xf numFmtId="0" fontId="0" fillId="9" borderId="50" xfId="0" applyFill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3" xfId="0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2" fillId="9" borderId="43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vertical="center"/>
    </xf>
    <xf numFmtId="0" fontId="1" fillId="9" borderId="43" xfId="0" applyFont="1" applyFill="1" applyBorder="1" applyAlignment="1">
      <alignment horizontal="center" vertical="center"/>
    </xf>
    <xf numFmtId="0" fontId="0" fillId="9" borderId="39" xfId="0" applyFill="1" applyBorder="1" applyAlignment="1">
      <alignment vertical="center"/>
    </xf>
    <xf numFmtId="0" fontId="11" fillId="0" borderId="38" xfId="3" applyFont="1" applyFill="1" applyBorder="1" applyAlignment="1">
      <alignment horizontal="right" vertical="center"/>
    </xf>
    <xf numFmtId="0" fontId="11" fillId="0" borderId="5" xfId="3" applyFont="1" applyFill="1" applyBorder="1" applyAlignment="1">
      <alignment horizontal="right" vertical="center"/>
    </xf>
    <xf numFmtId="0" fontId="11" fillId="0" borderId="31" xfId="3" applyFont="1" applyFill="1" applyBorder="1" applyAlignment="1">
      <alignment horizontal="right" vertical="center"/>
    </xf>
    <xf numFmtId="171" fontId="19" fillId="0" borderId="38" xfId="3" applyNumberFormat="1" applyFont="1" applyFill="1" applyBorder="1" applyAlignment="1">
      <alignment horizontal="right" vertical="center"/>
    </xf>
    <xf numFmtId="0" fontId="19" fillId="0" borderId="38" xfId="3" applyFont="1" applyFill="1" applyBorder="1" applyAlignment="1">
      <alignment horizontal="right" vertical="center"/>
    </xf>
    <xf numFmtId="0" fontId="11" fillId="0" borderId="38" xfId="3" applyFont="1" applyFill="1" applyBorder="1" applyAlignment="1">
      <alignment vertical="center"/>
    </xf>
    <xf numFmtId="0" fontId="5" fillId="0" borderId="0" xfId="3" applyFont="1" applyFill="1" applyAlignment="1">
      <alignment horizontal="left"/>
    </xf>
    <xf numFmtId="0" fontId="19" fillId="0" borderId="52" xfId="3" applyFont="1" applyFill="1" applyBorder="1" applyAlignment="1">
      <alignment vertical="center"/>
    </xf>
    <xf numFmtId="0" fontId="11" fillId="0" borderId="50" xfId="3" applyFont="1" applyFill="1" applyBorder="1" applyAlignment="1">
      <alignment vertical="center"/>
    </xf>
    <xf numFmtId="0" fontId="11" fillId="0" borderId="50" xfId="3" quotePrefix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  <xf numFmtId="0" fontId="11" fillId="0" borderId="32" xfId="3" applyFont="1" applyFill="1" applyBorder="1" applyAlignment="1">
      <alignment horizontal="right" vertical="center"/>
    </xf>
    <xf numFmtId="0" fontId="11" fillId="0" borderId="50" xfId="3" applyFont="1" applyFill="1" applyBorder="1" applyAlignment="1">
      <alignment horizontal="right" vertical="center"/>
    </xf>
    <xf numFmtId="171" fontId="19" fillId="0" borderId="50" xfId="3" applyNumberFormat="1" applyFont="1" applyFill="1" applyBorder="1" applyAlignment="1">
      <alignment horizontal="right" vertical="center"/>
    </xf>
    <xf numFmtId="0" fontId="19" fillId="0" borderId="50" xfId="3" applyFont="1" applyFill="1" applyBorder="1" applyAlignment="1">
      <alignment horizontal="right" vertical="center"/>
    </xf>
    <xf numFmtId="0" fontId="5" fillId="0" borderId="0" xfId="3" applyFont="1" applyFill="1" applyBorder="1"/>
    <xf numFmtId="0" fontId="19" fillId="0" borderId="50" xfId="3" quotePrefix="1" applyFont="1" applyFill="1" applyBorder="1" applyAlignment="1">
      <alignment vertical="center"/>
    </xf>
    <xf numFmtId="0" fontId="11" fillId="4" borderId="50" xfId="3" quotePrefix="1" applyFont="1" applyFill="1" applyBorder="1" applyAlignment="1">
      <alignment vertical="center"/>
    </xf>
    <xf numFmtId="0" fontId="19" fillId="4" borderId="50" xfId="3" quotePrefix="1" applyFont="1" applyFill="1" applyBorder="1" applyAlignment="1">
      <alignment vertical="center"/>
    </xf>
    <xf numFmtId="0" fontId="11" fillId="0" borderId="34" xfId="3" applyFont="1" applyFill="1" applyBorder="1" applyAlignment="1">
      <alignment horizontal="right" vertical="center"/>
    </xf>
    <xf numFmtId="0" fontId="11" fillId="0" borderId="35" xfId="3" applyFont="1" applyFill="1" applyBorder="1" applyAlignment="1">
      <alignment horizontal="right" vertical="center"/>
    </xf>
    <xf numFmtId="0" fontId="11" fillId="0" borderId="49" xfId="3" applyFont="1" applyFill="1" applyBorder="1" applyAlignment="1">
      <alignment horizontal="right" vertical="center"/>
    </xf>
    <xf numFmtId="2" fontId="11" fillId="0" borderId="34" xfId="3" applyNumberFormat="1" applyFont="1" applyFill="1" applyBorder="1" applyAlignment="1">
      <alignment horizontal="center" vertical="center"/>
    </xf>
    <xf numFmtId="166" fontId="11" fillId="0" borderId="34" xfId="7" applyFont="1" applyFill="1" applyBorder="1" applyAlignment="1">
      <alignment horizontal="center" vertical="center"/>
    </xf>
    <xf numFmtId="167" fontId="11" fillId="0" borderId="34" xfId="6" applyNumberFormat="1" applyFont="1" applyFill="1" applyBorder="1" applyAlignment="1">
      <alignment vertical="center"/>
    </xf>
    <xf numFmtId="0" fontId="19" fillId="0" borderId="37" xfId="3" applyFont="1" applyFill="1" applyBorder="1" applyAlignment="1">
      <alignment horizontal="right" vertical="center"/>
    </xf>
    <xf numFmtId="0" fontId="11" fillId="4" borderId="50" xfId="3" applyFont="1" applyFill="1" applyBorder="1"/>
    <xf numFmtId="2" fontId="11" fillId="0" borderId="37" xfId="3" applyNumberFormat="1" applyFont="1" applyFill="1" applyBorder="1" applyAlignment="1">
      <alignment horizontal="center" vertical="center"/>
    </xf>
    <xf numFmtId="166" fontId="11" fillId="0" borderId="37" xfId="7" applyFont="1" applyFill="1" applyBorder="1" applyAlignment="1">
      <alignment horizontal="center" vertical="center"/>
    </xf>
    <xf numFmtId="167" fontId="11" fillId="0" borderId="37" xfId="6" applyNumberFormat="1" applyFont="1" applyFill="1" applyBorder="1" applyAlignment="1">
      <alignment vertical="center"/>
    </xf>
    <xf numFmtId="167" fontId="11" fillId="0" borderId="37" xfId="8" applyNumberFormat="1" applyFont="1" applyFill="1" applyBorder="1" applyAlignment="1">
      <alignment vertical="center"/>
    </xf>
    <xf numFmtId="171" fontId="19" fillId="0" borderId="37" xfId="3" applyNumberFormat="1" applyFont="1" applyFill="1" applyBorder="1" applyAlignment="1">
      <alignment horizontal="right" vertical="center"/>
    </xf>
    <xf numFmtId="0" fontId="11" fillId="0" borderId="37" xfId="3" applyFont="1" applyFill="1" applyBorder="1" applyAlignment="1">
      <alignment horizontal="right" vertical="center"/>
    </xf>
    <xf numFmtId="0" fontId="5" fillId="4" borderId="50" xfId="3" applyFont="1" applyFill="1" applyBorder="1"/>
    <xf numFmtId="0" fontId="11" fillId="0" borderId="40" xfId="3" applyFont="1" applyFill="1" applyBorder="1" applyAlignment="1">
      <alignment horizontal="right" vertical="center"/>
    </xf>
    <xf numFmtId="0" fontId="11" fillId="0" borderId="41" xfId="3" applyFont="1" applyFill="1" applyBorder="1" applyAlignment="1">
      <alignment horizontal="right" vertical="center"/>
    </xf>
    <xf numFmtId="0" fontId="11" fillId="0" borderId="53" xfId="3" quotePrefix="1" applyFont="1" applyFill="1" applyBorder="1" applyAlignment="1">
      <alignment vertical="center"/>
    </xf>
    <xf numFmtId="0" fontId="11" fillId="0" borderId="53" xfId="3" applyFont="1" applyFill="1" applyBorder="1" applyAlignment="1">
      <alignment horizontal="right" vertical="center"/>
    </xf>
    <xf numFmtId="0" fontId="5" fillId="4" borderId="53" xfId="3" applyFont="1" applyFill="1" applyBorder="1"/>
    <xf numFmtId="2" fontId="11" fillId="0" borderId="40" xfId="3" applyNumberFormat="1" applyFont="1" applyFill="1" applyBorder="1" applyAlignment="1">
      <alignment horizontal="center" vertical="center"/>
    </xf>
    <xf numFmtId="166" fontId="11" fillId="0" borderId="40" xfId="7" applyFont="1" applyFill="1" applyBorder="1" applyAlignment="1">
      <alignment horizontal="center" vertical="center"/>
    </xf>
    <xf numFmtId="0" fontId="11" fillId="0" borderId="49" xfId="3" applyFont="1" applyFill="1" applyBorder="1" applyAlignment="1">
      <alignment vertical="center"/>
    </xf>
    <xf numFmtId="167" fontId="11" fillId="0" borderId="34" xfId="4" applyNumberFormat="1" applyFont="1" applyFill="1" applyBorder="1" applyAlignment="1">
      <alignment vertical="center"/>
    </xf>
    <xf numFmtId="0" fontId="19" fillId="4" borderId="50" xfId="3" applyFont="1" applyFill="1" applyBorder="1" applyAlignment="1">
      <alignment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50" xfId="3" applyFont="1" applyFill="1" applyBorder="1"/>
    <xf numFmtId="0" fontId="11" fillId="0" borderId="53" xfId="3" applyFont="1" applyFill="1" applyBorder="1" applyAlignment="1">
      <alignment vertical="center"/>
    </xf>
    <xf numFmtId="0" fontId="24" fillId="0" borderId="0" xfId="3" applyFont="1" applyFill="1"/>
    <xf numFmtId="2" fontId="11" fillId="4" borderId="37" xfId="3" applyNumberFormat="1" applyFont="1" applyFill="1" applyBorder="1" applyAlignment="1">
      <alignment horizontal="center" vertical="center"/>
    </xf>
    <xf numFmtId="166" fontId="11" fillId="4" borderId="37" xfId="7" applyFont="1" applyFill="1" applyBorder="1" applyAlignment="1">
      <alignment horizontal="center" vertical="center"/>
    </xf>
    <xf numFmtId="0" fontId="20" fillId="9" borderId="39" xfId="0" applyFont="1" applyFill="1" applyBorder="1" applyAlignment="1">
      <alignment vertical="center"/>
    </xf>
    <xf numFmtId="0" fontId="24" fillId="0" borderId="0" xfId="3" applyFont="1" applyAlignment="1">
      <alignment horizontal="center"/>
    </xf>
    <xf numFmtId="0" fontId="19" fillId="0" borderId="37" xfId="3" applyFont="1" applyFill="1" applyBorder="1" applyAlignment="1">
      <alignment horizontal="center" vertical="center"/>
    </xf>
    <xf numFmtId="166" fontId="19" fillId="0" borderId="2" xfId="8" applyNumberFormat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center" vertical="center"/>
    </xf>
    <xf numFmtId="167" fontId="7" fillId="0" borderId="3" xfId="4" applyNumberFormat="1" applyFont="1" applyFill="1" applyBorder="1" applyAlignment="1">
      <alignment horizontal="center" vertical="center"/>
    </xf>
    <xf numFmtId="166" fontId="1" fillId="0" borderId="37" xfId="15" applyFont="1" applyBorder="1" applyAlignment="1">
      <alignment horizontal="center" vertical="center"/>
    </xf>
    <xf numFmtId="166" fontId="1" fillId="9" borderId="37" xfId="15" applyFont="1" applyFill="1" applyBorder="1" applyAlignment="1">
      <alignment horizontal="center" vertical="center"/>
    </xf>
    <xf numFmtId="0" fontId="0" fillId="0" borderId="50" xfId="0" applyFill="1" applyBorder="1"/>
    <xf numFmtId="164" fontId="2" fillId="10" borderId="29" xfId="0" applyNumberFormat="1" applyFont="1" applyFill="1" applyBorder="1" applyAlignment="1">
      <alignment horizontal="center" vertical="center"/>
    </xf>
    <xf numFmtId="164" fontId="2" fillId="10" borderId="4" xfId="0" applyNumberFormat="1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vertical="center"/>
    </xf>
    <xf numFmtId="0" fontId="0" fillId="9" borderId="49" xfId="0" applyFill="1" applyBorder="1" applyAlignment="1">
      <alignment vertical="center"/>
    </xf>
    <xf numFmtId="0" fontId="1" fillId="9" borderId="3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19" fillId="0" borderId="32" xfId="3" quotePrefix="1" applyFont="1" applyFill="1" applyBorder="1" applyAlignment="1">
      <alignment horizontal="right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0" fontId="19" fillId="0" borderId="48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right" vertical="center"/>
    </xf>
    <xf numFmtId="171" fontId="11" fillId="0" borderId="10" xfId="3" applyNumberFormat="1" applyFont="1" applyFill="1" applyBorder="1" applyAlignment="1">
      <alignment horizontal="right" vertical="center"/>
    </xf>
    <xf numFmtId="0" fontId="11" fillId="0" borderId="61" xfId="3" applyFont="1" applyFill="1" applyBorder="1" applyAlignment="1">
      <alignment horizontal="center" vertical="center"/>
    </xf>
    <xf numFmtId="2" fontId="11" fillId="0" borderId="56" xfId="3" applyNumberFormat="1" applyFont="1" applyFill="1" applyBorder="1" applyAlignment="1">
      <alignment horizontal="center" vertical="center"/>
    </xf>
    <xf numFmtId="0" fontId="11" fillId="0" borderId="48" xfId="3" applyFont="1" applyFill="1" applyBorder="1" applyAlignment="1">
      <alignment horizontal="right" vertical="center"/>
    </xf>
    <xf numFmtId="0" fontId="11" fillId="0" borderId="52" xfId="3" applyFont="1" applyFill="1" applyBorder="1" applyAlignment="1">
      <alignment horizontal="right" vertical="center"/>
    </xf>
    <xf numFmtId="0" fontId="19" fillId="0" borderId="60" xfId="3" applyFont="1" applyFill="1" applyBorder="1" applyAlignment="1">
      <alignment horizontal="right" vertical="center"/>
    </xf>
    <xf numFmtId="0" fontId="11" fillId="0" borderId="60" xfId="3" applyFont="1" applyFill="1" applyBorder="1" applyAlignment="1">
      <alignment horizontal="right" vertical="center"/>
    </xf>
    <xf numFmtId="171" fontId="11" fillId="0" borderId="60" xfId="3" applyNumberFormat="1" applyFont="1" applyFill="1" applyBorder="1" applyAlignment="1">
      <alignment horizontal="right" vertical="center"/>
    </xf>
    <xf numFmtId="0" fontId="11" fillId="0" borderId="63" xfId="3" applyFont="1" applyFill="1" applyBorder="1"/>
    <xf numFmtId="164" fontId="7" fillId="0" borderId="33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166" fontId="1" fillId="0" borderId="43" xfId="15" applyFont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center" vertical="center"/>
    </xf>
    <xf numFmtId="0" fontId="19" fillId="0" borderId="0" xfId="3" quotePrefix="1" applyFont="1" applyFill="1" applyBorder="1" applyAlignment="1">
      <alignment horizontal="right" vertical="center"/>
    </xf>
    <xf numFmtId="167" fontId="19" fillId="0" borderId="0" xfId="8" applyNumberFormat="1" applyFont="1" applyFill="1" applyBorder="1" applyAlignment="1">
      <alignment horizontal="left" vertical="center"/>
    </xf>
    <xf numFmtId="0" fontId="11" fillId="0" borderId="64" xfId="3" applyFont="1" applyFill="1" applyBorder="1" applyAlignment="1">
      <alignment horizontal="right" vertical="center"/>
    </xf>
    <xf numFmtId="0" fontId="29" fillId="0" borderId="0" xfId="3" applyFont="1" applyFill="1"/>
    <xf numFmtId="0" fontId="29" fillId="0" borderId="0" xfId="3" applyFont="1" applyFill="1" applyBorder="1"/>
    <xf numFmtId="0" fontId="11" fillId="0" borderId="58" xfId="3" applyFont="1" applyFill="1" applyBorder="1" applyAlignment="1">
      <alignment horizontal="right" vertical="center"/>
    </xf>
    <xf numFmtId="0" fontId="11" fillId="0" borderId="52" xfId="3" quotePrefix="1" applyFont="1" applyFill="1" applyBorder="1" applyAlignment="1">
      <alignment vertical="center"/>
    </xf>
    <xf numFmtId="2" fontId="11" fillId="0" borderId="58" xfId="3" applyNumberFormat="1" applyFont="1" applyFill="1" applyBorder="1" applyAlignment="1">
      <alignment horizontal="center" vertical="center"/>
    </xf>
    <xf numFmtId="166" fontId="11" fillId="0" borderId="58" xfId="7" applyFont="1" applyFill="1" applyBorder="1" applyAlignment="1">
      <alignment horizontal="center" vertical="center"/>
    </xf>
    <xf numFmtId="0" fontId="7" fillId="0" borderId="59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vertical="center"/>
    </xf>
    <xf numFmtId="167" fontId="11" fillId="0" borderId="55" xfId="6" applyNumberFormat="1" applyFont="1" applyFill="1" applyBorder="1" applyAlignment="1">
      <alignment vertical="center"/>
    </xf>
    <xf numFmtId="167" fontId="7" fillId="0" borderId="59" xfId="4" applyNumberFormat="1" applyFont="1" applyFill="1" applyBorder="1" applyAlignment="1">
      <alignment horizontal="center" vertical="center"/>
    </xf>
    <xf numFmtId="0" fontId="11" fillId="0" borderId="1" xfId="3" applyFont="1" applyFill="1" applyBorder="1"/>
    <xf numFmtId="167" fontId="7" fillId="10" borderId="29" xfId="4" applyNumberFormat="1" applyFont="1" applyFill="1" applyBorder="1" applyAlignment="1">
      <alignment horizontal="center" vertical="center"/>
    </xf>
    <xf numFmtId="167" fontId="7" fillId="10" borderId="4" xfId="4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166" fontId="1" fillId="0" borderId="58" xfId="15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6" fontId="1" fillId="0" borderId="55" xfId="15" applyFont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4" fontId="5" fillId="0" borderId="45" xfId="0" applyNumberFormat="1" applyFont="1" applyFill="1" applyBorder="1" applyAlignment="1">
      <alignment vertical="center"/>
    </xf>
    <xf numFmtId="164" fontId="1" fillId="0" borderId="56" xfId="0" applyNumberFormat="1" applyFont="1" applyFill="1" applyBorder="1" applyAlignment="1">
      <alignment vertical="center"/>
    </xf>
    <xf numFmtId="0" fontId="2" fillId="0" borderId="61" xfId="0" applyFont="1" applyFill="1" applyBorder="1" applyAlignment="1">
      <alignment horizontal="left" vertical="center"/>
    </xf>
    <xf numFmtId="0" fontId="11" fillId="0" borderId="56" xfId="3" applyFont="1" applyFill="1" applyBorder="1"/>
    <xf numFmtId="0" fontId="11" fillId="0" borderId="61" xfId="3" applyFont="1" applyFill="1" applyBorder="1" applyAlignment="1">
      <alignment horizontal="right" vertical="center"/>
    </xf>
    <xf numFmtId="0" fontId="19" fillId="0" borderId="10" xfId="3" applyFont="1" applyFill="1" applyBorder="1" applyAlignment="1">
      <alignment horizontal="right" vertical="center"/>
    </xf>
    <xf numFmtId="0" fontId="19" fillId="0" borderId="69" xfId="3" applyFont="1" applyFill="1" applyBorder="1" applyAlignment="1">
      <alignment vertical="center"/>
    </xf>
    <xf numFmtId="0" fontId="11" fillId="0" borderId="69" xfId="3" applyFont="1" applyFill="1" applyBorder="1" applyAlignment="1">
      <alignment vertical="center"/>
    </xf>
    <xf numFmtId="2" fontId="11" fillId="0" borderId="69" xfId="3" quotePrefix="1" applyNumberFormat="1" applyFont="1" applyFill="1" applyBorder="1" applyAlignment="1">
      <alignment vertical="center"/>
    </xf>
    <xf numFmtId="0" fontId="11" fillId="0" borderId="69" xfId="3" quotePrefix="1" applyFont="1" applyFill="1" applyBorder="1" applyAlignment="1">
      <alignment vertical="center"/>
    </xf>
    <xf numFmtId="0" fontId="11" fillId="0" borderId="61" xfId="3" applyFont="1" applyFill="1" applyBorder="1" applyAlignment="1">
      <alignment vertical="center"/>
    </xf>
    <xf numFmtId="0" fontId="5" fillId="4" borderId="51" xfId="3" applyFont="1" applyFill="1" applyBorder="1"/>
    <xf numFmtId="0" fontId="5" fillId="4" borderId="56" xfId="3" applyFont="1" applyFill="1" applyBorder="1"/>
    <xf numFmtId="0" fontId="11" fillId="0" borderId="55" xfId="3" applyFont="1" applyFill="1" applyBorder="1" applyAlignment="1">
      <alignment horizontal="right" vertical="center"/>
    </xf>
    <xf numFmtId="0" fontId="11" fillId="0" borderId="51" xfId="3" applyFont="1" applyFill="1" applyBorder="1" applyAlignment="1">
      <alignment horizontal="right" vertical="center"/>
    </xf>
    <xf numFmtId="0" fontId="11" fillId="0" borderId="51" xfId="3" quotePrefix="1" applyFont="1" applyFill="1" applyBorder="1" applyAlignment="1">
      <alignment vertical="center"/>
    </xf>
    <xf numFmtId="0" fontId="11" fillId="0" borderId="61" xfId="3" quotePrefix="1" applyFont="1" applyFill="1" applyBorder="1" applyAlignment="1">
      <alignment vertical="center"/>
    </xf>
    <xf numFmtId="0" fontId="11" fillId="0" borderId="44" xfId="3" applyFont="1" applyFill="1" applyBorder="1" applyAlignment="1">
      <alignment horizontal="right" vertical="center"/>
    </xf>
    <xf numFmtId="2" fontId="11" fillId="0" borderId="55" xfId="3" applyNumberFormat="1" applyFont="1" applyFill="1" applyBorder="1" applyAlignment="1">
      <alignment horizontal="center" vertical="center"/>
    </xf>
    <xf numFmtId="166" fontId="11" fillId="0" borderId="55" xfId="7" applyFont="1" applyFill="1" applyBorder="1" applyAlignment="1">
      <alignment horizontal="center" vertical="center"/>
    </xf>
    <xf numFmtId="167" fontId="11" fillId="0" borderId="43" xfId="8" applyNumberFormat="1" applyFont="1" applyFill="1" applyBorder="1" applyAlignment="1">
      <alignment vertical="center"/>
    </xf>
    <xf numFmtId="0" fontId="11" fillId="0" borderId="43" xfId="3" applyFont="1" applyFill="1" applyBorder="1" applyAlignment="1">
      <alignment horizontal="right" vertical="center"/>
    </xf>
    <xf numFmtId="0" fontId="11" fillId="4" borderId="51" xfId="3" applyFont="1" applyFill="1" applyBorder="1"/>
    <xf numFmtId="0" fontId="11" fillId="4" borderId="56" xfId="3" applyFont="1" applyFill="1" applyBorder="1"/>
    <xf numFmtId="2" fontId="11" fillId="0" borderId="43" xfId="3" applyNumberFormat="1" applyFont="1" applyFill="1" applyBorder="1" applyAlignment="1">
      <alignment horizontal="center" vertical="center"/>
    </xf>
    <xf numFmtId="166" fontId="11" fillId="0" borderId="43" xfId="7" applyFont="1" applyFill="1" applyBorder="1" applyAlignment="1">
      <alignment horizontal="center" vertical="center"/>
    </xf>
    <xf numFmtId="167" fontId="11" fillId="0" borderId="43" xfId="6" applyNumberFormat="1" applyFont="1" applyFill="1" applyBorder="1" applyAlignment="1">
      <alignment vertical="center"/>
    </xf>
    <xf numFmtId="0" fontId="11" fillId="0" borderId="56" xfId="3" quotePrefix="1" applyFont="1" applyFill="1" applyBorder="1" applyAlignment="1">
      <alignment vertical="center"/>
    </xf>
    <xf numFmtId="2" fontId="11" fillId="0" borderId="47" xfId="3" applyNumberFormat="1" applyFont="1" applyFill="1" applyBorder="1" applyAlignment="1">
      <alignment horizontal="center" vertical="center"/>
    </xf>
    <xf numFmtId="166" fontId="11" fillId="0" borderId="47" xfId="7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56" xfId="0" applyFont="1" applyFill="1" applyBorder="1" applyAlignment="1">
      <alignment vertical="center"/>
    </xf>
    <xf numFmtId="0" fontId="19" fillId="0" borderId="43" xfId="3" applyFont="1" applyFill="1" applyBorder="1" applyAlignment="1">
      <alignment horizontal="center" vertical="center"/>
    </xf>
    <xf numFmtId="171" fontId="19" fillId="0" borderId="47" xfId="3" applyNumberFormat="1" applyFont="1" applyFill="1" applyBorder="1" applyAlignment="1">
      <alignment horizontal="right" vertical="center"/>
    </xf>
    <xf numFmtId="0" fontId="19" fillId="0" borderId="44" xfId="3" applyFont="1" applyFill="1" applyBorder="1" applyAlignment="1">
      <alignment horizontal="right" vertical="center"/>
    </xf>
    <xf numFmtId="171" fontId="19" fillId="0" borderId="48" xfId="3" applyNumberFormat="1" applyFont="1" applyFill="1" applyBorder="1" applyAlignment="1">
      <alignment horizontal="right" vertical="center"/>
    </xf>
    <xf numFmtId="0" fontId="11" fillId="4" borderId="46" xfId="3" applyFont="1" applyFill="1" applyBorder="1"/>
    <xf numFmtId="0" fontId="19" fillId="0" borderId="51" xfId="3" applyFont="1" applyFill="1" applyBorder="1" applyAlignment="1">
      <alignment horizontal="right" vertical="center"/>
    </xf>
    <xf numFmtId="171" fontId="19" fillId="0" borderId="52" xfId="3" applyNumberFormat="1" applyFont="1" applyFill="1" applyBorder="1" applyAlignment="1">
      <alignment horizontal="right" vertical="center"/>
    </xf>
    <xf numFmtId="0" fontId="19" fillId="0" borderId="51" xfId="3" quotePrefix="1" applyFont="1" applyFill="1" applyBorder="1" applyAlignment="1">
      <alignment vertical="center"/>
    </xf>
    <xf numFmtId="0" fontId="19" fillId="0" borderId="52" xfId="3" quotePrefix="1" applyFont="1" applyFill="1" applyBorder="1" applyAlignment="1">
      <alignment vertical="center"/>
    </xf>
    <xf numFmtId="0" fontId="11" fillId="0" borderId="47" xfId="3" applyFont="1" applyFill="1" applyBorder="1" applyAlignment="1">
      <alignment horizontal="right" vertical="center"/>
    </xf>
    <xf numFmtId="0" fontId="19" fillId="0" borderId="48" xfId="3" applyFont="1" applyFill="1" applyBorder="1" applyAlignment="1">
      <alignment horizontal="right" vertical="center"/>
    </xf>
    <xf numFmtId="0" fontId="11" fillId="0" borderId="52" xfId="3" applyFont="1" applyFill="1" applyBorder="1"/>
    <xf numFmtId="0" fontId="19" fillId="0" borderId="0" xfId="3" applyFont="1" applyFill="1" applyBorder="1" applyAlignment="1">
      <alignment vertical="center"/>
    </xf>
    <xf numFmtId="0" fontId="11" fillId="0" borderId="46" xfId="3" applyFont="1" applyFill="1" applyBorder="1"/>
    <xf numFmtId="2" fontId="11" fillId="0" borderId="3" xfId="3" applyNumberFormat="1" applyFont="1" applyFill="1" applyBorder="1" applyAlignment="1">
      <alignment horizontal="center" vertical="center"/>
    </xf>
    <xf numFmtId="0" fontId="11" fillId="0" borderId="47" xfId="3" applyFont="1" applyFill="1" applyBorder="1" applyAlignment="1">
      <alignment horizontal="center" vertical="center"/>
    </xf>
    <xf numFmtId="0" fontId="11" fillId="0" borderId="47" xfId="3" applyFont="1" applyFill="1" applyBorder="1" applyAlignment="1">
      <alignment vertical="center"/>
    </xf>
    <xf numFmtId="164" fontId="0" fillId="0" borderId="0" xfId="0" applyNumberFormat="1"/>
    <xf numFmtId="168" fontId="0" fillId="0" borderId="0" xfId="0" applyNumberFormat="1"/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1" xfId="0" applyFont="1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5" xfId="0" applyFont="1" applyBorder="1" applyAlignment="1">
      <alignment vertical="center"/>
    </xf>
    <xf numFmtId="0" fontId="1" fillId="0" borderId="65" xfId="0" applyFont="1" applyFill="1" applyBorder="1" applyAlignment="1">
      <alignment horizontal="center" vertical="center"/>
    </xf>
    <xf numFmtId="168" fontId="1" fillId="0" borderId="37" xfId="0" applyNumberFormat="1" applyFont="1" applyBorder="1" applyAlignment="1">
      <alignment vertical="center"/>
    </xf>
    <xf numFmtId="168" fontId="1" fillId="0" borderId="37" xfId="0" applyNumberFormat="1" applyFont="1" applyFill="1" applyBorder="1" applyAlignment="1">
      <alignment vertical="center"/>
    </xf>
    <xf numFmtId="168" fontId="1" fillId="0" borderId="40" xfId="0" applyNumberFormat="1" applyFont="1" applyBorder="1" applyAlignment="1">
      <alignment vertical="center"/>
    </xf>
    <xf numFmtId="168" fontId="1" fillId="0" borderId="30" xfId="0" applyNumberFormat="1" applyFont="1" applyFill="1" applyBorder="1" applyAlignment="1">
      <alignment vertical="center"/>
    </xf>
    <xf numFmtId="168" fontId="2" fillId="0" borderId="30" xfId="0" applyNumberFormat="1" applyFont="1" applyFill="1" applyBorder="1" applyAlignment="1">
      <alignment vertical="center"/>
    </xf>
    <xf numFmtId="168" fontId="2" fillId="0" borderId="37" xfId="0" applyNumberFormat="1" applyFont="1" applyFill="1" applyBorder="1" applyAlignment="1">
      <alignment vertical="center"/>
    </xf>
    <xf numFmtId="168" fontId="1" fillId="0" borderId="34" xfId="0" applyNumberFormat="1" applyFont="1" applyBorder="1" applyAlignment="1">
      <alignment vertical="center"/>
    </xf>
    <xf numFmtId="168" fontId="2" fillId="0" borderId="34" xfId="0" applyNumberFormat="1" applyFont="1" applyFill="1" applyBorder="1" applyAlignment="1">
      <alignment vertical="center"/>
    </xf>
    <xf numFmtId="168" fontId="1" fillId="0" borderId="67" xfId="0" applyNumberFormat="1" applyFont="1" applyFill="1" applyBorder="1" applyAlignment="1">
      <alignment vertical="center"/>
    </xf>
    <xf numFmtId="168" fontId="2" fillId="0" borderId="47" xfId="0" applyNumberFormat="1" applyFont="1" applyFill="1" applyBorder="1" applyAlignment="1">
      <alignment vertical="center"/>
    </xf>
    <xf numFmtId="168" fontId="2" fillId="9" borderId="37" xfId="0" applyNumberFormat="1" applyFont="1" applyFill="1" applyBorder="1" applyAlignment="1">
      <alignment vertical="center"/>
    </xf>
    <xf numFmtId="168" fontId="1" fillId="0" borderId="43" xfId="0" applyNumberFormat="1" applyFont="1" applyBorder="1" applyAlignment="1">
      <alignment vertical="center"/>
    </xf>
    <xf numFmtId="168" fontId="1" fillId="0" borderId="43" xfId="0" applyNumberFormat="1" applyFont="1" applyFill="1" applyBorder="1" applyAlignment="1">
      <alignment vertical="center"/>
    </xf>
    <xf numFmtId="168" fontId="1" fillId="0" borderId="55" xfId="0" applyNumberFormat="1" applyFont="1" applyBorder="1" applyAlignment="1">
      <alignment vertical="center"/>
    </xf>
    <xf numFmtId="168" fontId="1" fillId="0" borderId="55" xfId="0" applyNumberFormat="1" applyFont="1" applyFill="1" applyBorder="1" applyAlignment="1">
      <alignment vertical="center"/>
    </xf>
    <xf numFmtId="168" fontId="2" fillId="0" borderId="33" xfId="0" applyNumberFormat="1" applyFont="1" applyFill="1" applyBorder="1" applyAlignment="1">
      <alignment vertical="center"/>
    </xf>
    <xf numFmtId="168" fontId="2" fillId="9" borderId="34" xfId="0" applyNumberFormat="1" applyFont="1" applyFill="1" applyBorder="1" applyAlignment="1">
      <alignment vertical="center"/>
    </xf>
    <xf numFmtId="168" fontId="2" fillId="0" borderId="62" xfId="0" applyNumberFormat="1" applyFont="1" applyFill="1" applyBorder="1" applyAlignment="1">
      <alignment vertical="center"/>
    </xf>
    <xf numFmtId="168" fontId="2" fillId="0" borderId="58" xfId="0" applyNumberFormat="1" applyFont="1" applyFill="1" applyBorder="1" applyAlignment="1">
      <alignment vertical="center"/>
    </xf>
    <xf numFmtId="168" fontId="1" fillId="0" borderId="40" xfId="0" applyNumberFormat="1" applyFont="1" applyFill="1" applyBorder="1" applyAlignment="1">
      <alignment vertical="center"/>
    </xf>
    <xf numFmtId="168" fontId="5" fillId="0" borderId="37" xfId="0" applyNumberFormat="1" applyFont="1" applyBorder="1" applyAlignment="1">
      <alignment vertical="center"/>
    </xf>
    <xf numFmtId="168" fontId="1" fillId="0" borderId="58" xfId="0" applyNumberFormat="1" applyFont="1" applyFill="1" applyBorder="1" applyAlignment="1">
      <alignment vertical="center"/>
    </xf>
    <xf numFmtId="168" fontId="2" fillId="0" borderId="40" xfId="0" applyNumberFormat="1" applyFont="1" applyFill="1" applyBorder="1" applyAlignment="1">
      <alignment vertical="center"/>
    </xf>
    <xf numFmtId="168" fontId="2" fillId="9" borderId="43" xfId="0" applyNumberFormat="1" applyFont="1" applyFill="1" applyBorder="1" applyAlignment="1">
      <alignment vertical="center"/>
    </xf>
    <xf numFmtId="168" fontId="5" fillId="0" borderId="37" xfId="0" applyNumberFormat="1" applyFont="1" applyFill="1" applyBorder="1" applyAlignment="1">
      <alignment vertical="center"/>
    </xf>
    <xf numFmtId="168" fontId="2" fillId="0" borderId="43" xfId="0" applyNumberFormat="1" applyFont="1" applyFill="1" applyBorder="1" applyAlignment="1">
      <alignment vertical="center"/>
    </xf>
    <xf numFmtId="168" fontId="7" fillId="0" borderId="37" xfId="0" applyNumberFormat="1" applyFont="1" applyFill="1" applyBorder="1" applyAlignment="1">
      <alignment vertical="center"/>
    </xf>
    <xf numFmtId="168" fontId="7" fillId="0" borderId="40" xfId="0" applyNumberFormat="1" applyFont="1" applyFill="1" applyBorder="1" applyAlignment="1">
      <alignment vertical="center"/>
    </xf>
    <xf numFmtId="166" fontId="11" fillId="0" borderId="9" xfId="6" applyNumberFormat="1" applyFont="1" applyFill="1" applyBorder="1" applyAlignment="1">
      <alignment horizontal="center" vertical="center"/>
    </xf>
    <xf numFmtId="166" fontId="11" fillId="0" borderId="9" xfId="4" applyNumberFormat="1" applyFont="1" applyFill="1" applyBorder="1" applyAlignment="1">
      <alignment horizontal="center" vertical="center"/>
    </xf>
    <xf numFmtId="166" fontId="11" fillId="0" borderId="55" xfId="6" applyNumberFormat="1" applyFont="1" applyFill="1" applyBorder="1" applyAlignment="1">
      <alignment horizontal="center" vertical="center"/>
    </xf>
    <xf numFmtId="166" fontId="11" fillId="0" borderId="3" xfId="4" applyNumberFormat="1" applyFont="1" applyFill="1" applyBorder="1" applyAlignment="1">
      <alignment horizontal="center" vertical="center"/>
    </xf>
    <xf numFmtId="166" fontId="11" fillId="0" borderId="3" xfId="6" applyNumberFormat="1" applyFont="1" applyFill="1" applyBorder="1" applyAlignment="1">
      <alignment horizontal="center" vertical="center"/>
    </xf>
    <xf numFmtId="166" fontId="11" fillId="0" borderId="43" xfId="4" applyNumberFormat="1" applyFont="1" applyFill="1" applyBorder="1" applyAlignment="1">
      <alignment horizontal="center" vertical="center"/>
    </xf>
    <xf numFmtId="166" fontId="11" fillId="0" borderId="47" xfId="6" applyNumberFormat="1" applyFont="1" applyFill="1" applyBorder="1" applyAlignment="1">
      <alignment horizontal="center" vertical="center"/>
    </xf>
    <xf numFmtId="166" fontId="11" fillId="0" borderId="47" xfId="4" applyNumberFormat="1" applyFont="1" applyFill="1" applyBorder="1" applyAlignment="1">
      <alignment horizontal="center" vertical="center"/>
    </xf>
    <xf numFmtId="166" fontId="11" fillId="0" borderId="37" xfId="6" applyNumberFormat="1" applyFont="1" applyFill="1" applyBorder="1" applyAlignment="1">
      <alignment horizontal="center" vertical="center"/>
    </xf>
    <xf numFmtId="166" fontId="11" fillId="0" borderId="37" xfId="4" applyNumberFormat="1" applyFont="1" applyFill="1" applyBorder="1" applyAlignment="1">
      <alignment horizontal="center" vertical="center"/>
    </xf>
    <xf numFmtId="166" fontId="11" fillId="0" borderId="40" xfId="6" applyNumberFormat="1" applyFont="1" applyFill="1" applyBorder="1" applyAlignment="1">
      <alignment horizontal="center" vertical="center"/>
    </xf>
    <xf numFmtId="166" fontId="11" fillId="0" borderId="40" xfId="4" applyNumberFormat="1" applyFont="1" applyFill="1" applyBorder="1" applyAlignment="1">
      <alignment horizontal="center" vertical="center"/>
    </xf>
    <xf numFmtId="166" fontId="11" fillId="0" borderId="37" xfId="6" applyNumberFormat="1" applyFont="1" applyFill="1" applyBorder="1" applyAlignment="1">
      <alignment vertical="center"/>
    </xf>
    <xf numFmtId="166" fontId="11" fillId="0" borderId="37" xfId="8" applyNumberFormat="1" applyFont="1" applyFill="1" applyBorder="1" applyAlignment="1">
      <alignment vertical="center"/>
    </xf>
    <xf numFmtId="166" fontId="11" fillId="0" borderId="9" xfId="6" applyNumberFormat="1" applyFont="1" applyFill="1" applyBorder="1" applyAlignment="1">
      <alignment vertical="center"/>
    </xf>
    <xf numFmtId="166" fontId="11" fillId="0" borderId="9" xfId="8" applyNumberFormat="1" applyFont="1" applyFill="1" applyBorder="1" applyAlignment="1">
      <alignment vertical="center"/>
    </xf>
    <xf numFmtId="166" fontId="11" fillId="0" borderId="43" xfId="6" applyNumberFormat="1" applyFont="1" applyFill="1" applyBorder="1" applyAlignment="1">
      <alignment vertical="center"/>
    </xf>
    <xf numFmtId="166" fontId="11" fillId="0" borderId="43" xfId="8" applyNumberFormat="1" applyFont="1" applyFill="1" applyBorder="1" applyAlignment="1">
      <alignment vertical="center"/>
    </xf>
    <xf numFmtId="166" fontId="11" fillId="0" borderId="55" xfId="6" applyNumberFormat="1" applyFont="1" applyFill="1" applyBorder="1" applyAlignment="1">
      <alignment vertical="center"/>
    </xf>
    <xf numFmtId="166" fontId="11" fillId="0" borderId="55" xfId="8" applyNumberFormat="1" applyFont="1" applyFill="1" applyBorder="1" applyAlignment="1">
      <alignment vertical="center"/>
    </xf>
    <xf numFmtId="166" fontId="11" fillId="0" borderId="47" xfId="6" applyNumberFormat="1" applyFont="1" applyFill="1" applyBorder="1" applyAlignment="1">
      <alignment vertical="center"/>
    </xf>
    <xf numFmtId="166" fontId="11" fillId="0" borderId="47" xfId="8" applyNumberFormat="1" applyFont="1" applyFill="1" applyBorder="1" applyAlignment="1">
      <alignment vertical="center"/>
    </xf>
    <xf numFmtId="166" fontId="11" fillId="4" borderId="37" xfId="6" applyNumberFormat="1" applyFont="1" applyFill="1" applyBorder="1" applyAlignment="1">
      <alignment vertical="center"/>
    </xf>
    <xf numFmtId="166" fontId="11" fillId="4" borderId="37" xfId="8" applyNumberFormat="1" applyFont="1" applyFill="1" applyBorder="1" applyAlignment="1">
      <alignment vertical="center"/>
    </xf>
    <xf numFmtId="166" fontId="11" fillId="0" borderId="58" xfId="6" applyNumberFormat="1" applyFont="1" applyFill="1" applyBorder="1" applyAlignment="1">
      <alignment vertical="center"/>
    </xf>
    <xf numFmtId="166" fontId="11" fillId="0" borderId="40" xfId="6" applyNumberFormat="1" applyFont="1" applyFill="1" applyBorder="1" applyAlignment="1">
      <alignment vertical="center"/>
    </xf>
    <xf numFmtId="166" fontId="11" fillId="0" borderId="40" xfId="8" applyNumberFormat="1" applyFont="1" applyFill="1" applyBorder="1" applyAlignment="1">
      <alignment vertical="center"/>
    </xf>
    <xf numFmtId="166" fontId="19" fillId="0" borderId="2" xfId="4" applyNumberFormat="1" applyFont="1" applyFill="1" applyBorder="1" applyAlignment="1">
      <alignment horizontal="center" vertical="center"/>
    </xf>
    <xf numFmtId="166" fontId="7" fillId="0" borderId="62" xfId="8" applyNumberFormat="1" applyFont="1" applyFill="1" applyBorder="1" applyAlignment="1">
      <alignment horizontal="left" vertical="center"/>
    </xf>
    <xf numFmtId="168" fontId="2" fillId="0" borderId="66" xfId="0" applyNumberFormat="1" applyFont="1" applyFill="1" applyBorder="1" applyAlignment="1">
      <alignment vertical="center"/>
    </xf>
    <xf numFmtId="168" fontId="2" fillId="0" borderId="66" xfId="0" quotePrefix="1" applyNumberFormat="1" applyFont="1" applyFill="1" applyBorder="1" applyAlignment="1">
      <alignment horizontal="right" vertical="center"/>
    </xf>
    <xf numFmtId="0" fontId="1" fillId="0" borderId="51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vertical="center"/>
    </xf>
    <xf numFmtId="0" fontId="2" fillId="0" borderId="65" xfId="0" applyFont="1" applyBorder="1" applyAlignment="1">
      <alignment horizontal="left" vertical="center"/>
    </xf>
    <xf numFmtId="0" fontId="2" fillId="0" borderId="65" xfId="0" applyFont="1" applyFill="1" applyBorder="1" applyAlignment="1">
      <alignment horizontal="center" vertical="center"/>
    </xf>
    <xf numFmtId="168" fontId="1" fillId="0" borderId="47" xfId="0" applyNumberFormat="1" applyFont="1" applyFill="1" applyBorder="1" applyAlignment="1">
      <alignment vertical="center"/>
    </xf>
    <xf numFmtId="164" fontId="1" fillId="0" borderId="45" xfId="0" applyNumberFormat="1" applyFont="1" applyFill="1" applyBorder="1" applyAlignment="1">
      <alignment vertical="center"/>
    </xf>
    <xf numFmtId="168" fontId="1" fillId="0" borderId="47" xfId="0" applyNumberFormat="1" applyFont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168" fontId="5" fillId="0" borderId="4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ill="1" applyBorder="1"/>
    <xf numFmtId="168" fontId="2" fillId="0" borderId="3" xfId="0" applyNumberFormat="1" applyFont="1" applyFill="1" applyBorder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68" fontId="7" fillId="0" borderId="43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168" fontId="7" fillId="0" borderId="47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168" fontId="28" fillId="0" borderId="33" xfId="0" applyNumberFormat="1" applyFont="1" applyBorder="1" applyAlignment="1">
      <alignment horizontal="right" vertical="center"/>
    </xf>
    <xf numFmtId="168" fontId="28" fillId="0" borderId="33" xfId="0" applyNumberFormat="1" applyFont="1" applyBorder="1" applyAlignment="1">
      <alignment vertical="center"/>
    </xf>
    <xf numFmtId="0" fontId="28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171" fontId="5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168" fontId="5" fillId="0" borderId="0" xfId="18" applyNumberFormat="1" applyFont="1" applyBorder="1" applyAlignment="1">
      <alignment horizontal="center"/>
    </xf>
    <xf numFmtId="168" fontId="5" fillId="0" borderId="0" xfId="18" applyNumberFormat="1" applyFont="1" applyBorder="1"/>
    <xf numFmtId="166" fontId="5" fillId="0" borderId="0" xfId="19" applyFont="1"/>
    <xf numFmtId="0" fontId="7" fillId="0" borderId="0" xfId="0" applyFont="1"/>
    <xf numFmtId="168" fontId="7" fillId="11" borderId="67" xfId="18" applyNumberFormat="1" applyFont="1" applyFill="1" applyBorder="1" applyAlignment="1">
      <alignment horizontal="center" vertical="center"/>
    </xf>
    <xf numFmtId="166" fontId="7" fillId="11" borderId="67" xfId="19" applyFont="1" applyFill="1" applyBorder="1" applyAlignment="1">
      <alignment horizontal="center" vertical="center"/>
    </xf>
    <xf numFmtId="168" fontId="7" fillId="11" borderId="3" xfId="18" applyNumberFormat="1" applyFont="1" applyFill="1" applyBorder="1" applyAlignment="1">
      <alignment horizontal="center" vertical="center"/>
    </xf>
    <xf numFmtId="166" fontId="7" fillId="11" borderId="3" xfId="19" applyFont="1" applyFill="1" applyBorder="1" applyAlignment="1">
      <alignment horizontal="center" vertical="center"/>
    </xf>
    <xf numFmtId="168" fontId="7" fillId="11" borderId="4" xfId="18" applyNumberFormat="1" applyFont="1" applyFill="1" applyBorder="1" applyAlignment="1">
      <alignment horizontal="center" vertical="center"/>
    </xf>
    <xf numFmtId="0" fontId="24" fillId="11" borderId="73" xfId="0" applyFont="1" applyFill="1" applyBorder="1" applyAlignment="1">
      <alignment horizontal="center" vertical="center"/>
    </xf>
    <xf numFmtId="0" fontId="24" fillId="11" borderId="74" xfId="0" applyFont="1" applyFill="1" applyBorder="1" applyAlignment="1">
      <alignment horizontal="center" vertical="center"/>
    </xf>
    <xf numFmtId="0" fontId="24" fillId="11" borderId="75" xfId="0" applyFont="1" applyFill="1" applyBorder="1" applyAlignment="1">
      <alignment horizontal="center" vertical="center"/>
    </xf>
    <xf numFmtId="0" fontId="24" fillId="11" borderId="73" xfId="18" applyNumberFormat="1" applyFont="1" applyFill="1" applyBorder="1" applyAlignment="1">
      <alignment horizontal="center" vertical="center"/>
    </xf>
    <xf numFmtId="0" fontId="24" fillId="11" borderId="74" xfId="18" applyNumberFormat="1" applyFont="1" applyFill="1" applyBorder="1" applyAlignment="1">
      <alignment horizontal="center" vertical="center"/>
    </xf>
    <xf numFmtId="172" fontId="24" fillId="11" borderId="76" xfId="19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32" fillId="0" borderId="77" xfId="0" applyFont="1" applyBorder="1"/>
    <xf numFmtId="0" fontId="5" fillId="0" borderId="58" xfId="0" applyFont="1" applyBorder="1" applyAlignment="1">
      <alignment horizontal="center"/>
    </xf>
    <xf numFmtId="168" fontId="5" fillId="0" borderId="58" xfId="18" applyNumberFormat="1" applyFont="1" applyBorder="1" applyAlignment="1">
      <alignment horizontal="center"/>
    </xf>
    <xf numFmtId="168" fontId="5" fillId="0" borderId="58" xfId="18" applyNumberFormat="1" applyFont="1" applyBorder="1"/>
    <xf numFmtId="166" fontId="5" fillId="0" borderId="55" xfId="19" applyFont="1" applyBorder="1"/>
    <xf numFmtId="0" fontId="7" fillId="12" borderId="55" xfId="0" applyFont="1" applyFill="1" applyBorder="1" applyAlignment="1">
      <alignment horizontal="center" vertical="center"/>
    </xf>
    <xf numFmtId="0" fontId="7" fillId="12" borderId="56" xfId="0" applyFont="1" applyFill="1" applyBorder="1" applyAlignment="1">
      <alignment horizontal="left" vertical="center"/>
    </xf>
    <xf numFmtId="0" fontId="5" fillId="12" borderId="77" xfId="0" quotePrefix="1" applyFont="1" applyFill="1" applyBorder="1" applyAlignment="1">
      <alignment vertical="center"/>
    </xf>
    <xf numFmtId="166" fontId="5" fillId="12" borderId="55" xfId="19" applyFont="1" applyFill="1" applyBorder="1" applyAlignment="1">
      <alignment horizontal="center" vertical="center"/>
    </xf>
    <xf numFmtId="168" fontId="5" fillId="12" borderId="55" xfId="18" applyNumberFormat="1" applyFont="1" applyFill="1" applyBorder="1" applyAlignment="1">
      <alignment horizontal="center" vertical="center"/>
    </xf>
    <xf numFmtId="168" fontId="5" fillId="12" borderId="55" xfId="18" applyNumberFormat="1" applyFont="1" applyFill="1" applyBorder="1" applyAlignment="1">
      <alignment vertical="center"/>
    </xf>
    <xf numFmtId="166" fontId="5" fillId="12" borderId="55" xfId="19" applyFont="1" applyFill="1" applyBorder="1" applyAlignment="1">
      <alignment vertical="center"/>
    </xf>
    <xf numFmtId="171" fontId="11" fillId="0" borderId="55" xfId="20" quotePrefix="1" applyNumberFormat="1" applyFont="1" applyFill="1" applyBorder="1" applyAlignment="1" applyProtection="1">
      <alignment horizontal="right" vertical="center"/>
    </xf>
    <xf numFmtId="0" fontId="11" fillId="0" borderId="61" xfId="0" applyFont="1" applyBorder="1" applyAlignment="1">
      <alignment horizontal="left" vertical="center" indent="1"/>
    </xf>
    <xf numFmtId="0" fontId="11" fillId="0" borderId="78" xfId="0" quotePrefix="1" applyFont="1" applyBorder="1" applyAlignment="1">
      <alignment vertical="center"/>
    </xf>
    <xf numFmtId="166" fontId="11" fillId="0" borderId="55" xfId="19" applyFont="1" applyBorder="1" applyAlignment="1">
      <alignment horizontal="center" vertical="center"/>
    </xf>
    <xf numFmtId="2" fontId="11" fillId="0" borderId="55" xfId="21" applyNumberFormat="1" applyFont="1" applyBorder="1" applyAlignment="1">
      <alignment horizontal="right" vertical="center" indent="1"/>
    </xf>
    <xf numFmtId="4" fontId="11" fillId="0" borderId="55" xfId="21" applyNumberFormat="1" applyFont="1" applyBorder="1" applyAlignment="1">
      <alignment vertical="center"/>
    </xf>
    <xf numFmtId="166" fontId="11" fillId="0" borderId="55" xfId="19" applyFont="1" applyBorder="1" applyAlignment="1">
      <alignment vertical="center"/>
    </xf>
    <xf numFmtId="166" fontId="11" fillId="0" borderId="10" xfId="20" applyFont="1" applyFill="1" applyBorder="1" applyAlignment="1" applyProtection="1">
      <alignment horizontal="left" vertical="center" indent="1"/>
    </xf>
    <xf numFmtId="166" fontId="19" fillId="0" borderId="61" xfId="22" applyFont="1" applyFill="1" applyBorder="1" applyAlignment="1" applyProtection="1">
      <alignment horizontal="center" vertical="center"/>
    </xf>
    <xf numFmtId="0" fontId="33" fillId="0" borderId="55" xfId="21" applyFont="1" applyBorder="1" applyAlignment="1" applyProtection="1">
      <alignment horizontal="center" vertical="center"/>
      <protection locked="0"/>
    </xf>
    <xf numFmtId="166" fontId="19" fillId="0" borderId="10" xfId="20" applyFont="1" applyFill="1" applyBorder="1" applyAlignment="1" applyProtection="1">
      <alignment horizontal="left" vertical="center" indent="1"/>
    </xf>
    <xf numFmtId="0" fontId="19" fillId="0" borderId="55" xfId="20" applyNumberFormat="1" applyFont="1" applyFill="1" applyBorder="1" applyAlignment="1" applyProtection="1">
      <alignment horizontal="center" vertical="center"/>
    </xf>
    <xf numFmtId="0" fontId="33" fillId="0" borderId="10" xfId="23" applyFont="1" applyBorder="1" applyAlignment="1" applyProtection="1">
      <alignment horizontal="left" vertical="center" indent="1"/>
      <protection locked="0"/>
    </xf>
    <xf numFmtId="0" fontId="11" fillId="0" borderId="55" xfId="24" applyFont="1" applyBorder="1" applyAlignment="1">
      <alignment horizontal="center" vertical="center"/>
    </xf>
    <xf numFmtId="171" fontId="11" fillId="0" borderId="72" xfId="20" quotePrefix="1" applyNumberFormat="1" applyFont="1" applyFill="1" applyBorder="1" applyAlignment="1" applyProtection="1">
      <alignment horizontal="right" vertical="center"/>
    </xf>
    <xf numFmtId="0" fontId="33" fillId="0" borderId="79" xfId="23" applyFont="1" applyBorder="1" applyAlignment="1" applyProtection="1">
      <alignment horizontal="left" vertical="center" indent="1"/>
      <protection locked="0"/>
    </xf>
    <xf numFmtId="0" fontId="33" fillId="0" borderId="72" xfId="21" applyFont="1" applyBorder="1" applyAlignment="1" applyProtection="1">
      <alignment horizontal="center" vertical="center"/>
      <protection locked="0"/>
    </xf>
    <xf numFmtId="4" fontId="11" fillId="0" borderId="72" xfId="21" applyNumberFormat="1" applyFont="1" applyBorder="1" applyAlignment="1">
      <alignment vertical="center"/>
    </xf>
    <xf numFmtId="171" fontId="11" fillId="0" borderId="79" xfId="20" quotePrefix="1" applyNumberFormat="1" applyFont="1" applyFill="1" applyBorder="1" applyAlignment="1" applyProtection="1">
      <alignment horizontal="right" vertical="center"/>
    </xf>
    <xf numFmtId="166" fontId="19" fillId="0" borderId="80" xfId="22" applyFont="1" applyFill="1" applyBorder="1" applyAlignment="1" applyProtection="1">
      <alignment horizontal="center" vertical="center"/>
    </xf>
    <xf numFmtId="0" fontId="33" fillId="0" borderId="81" xfId="21" applyFont="1" applyBorder="1" applyAlignment="1" applyProtection="1">
      <alignment horizontal="center" vertical="center"/>
      <protection locked="0"/>
    </xf>
    <xf numFmtId="2" fontId="11" fillId="0" borderId="72" xfId="21" applyNumberFormat="1" applyFont="1" applyBorder="1" applyAlignment="1">
      <alignment horizontal="right" vertical="center" indent="1"/>
    </xf>
    <xf numFmtId="166" fontId="11" fillId="0" borderId="72" xfId="19" applyFont="1" applyBorder="1" applyAlignment="1">
      <alignment vertical="center"/>
    </xf>
    <xf numFmtId="0" fontId="33" fillId="0" borderId="82" xfId="23" applyFont="1" applyBorder="1" applyAlignment="1" applyProtection="1">
      <alignment horizontal="left" vertical="center" indent="1"/>
      <protection locked="0"/>
    </xf>
    <xf numFmtId="166" fontId="19" fillId="0" borderId="63" xfId="22" applyFont="1" applyFill="1" applyBorder="1" applyAlignment="1" applyProtection="1">
      <alignment horizontal="center" vertical="center"/>
    </xf>
    <xf numFmtId="0" fontId="33" fillId="0" borderId="61" xfId="21" applyFont="1" applyBorder="1" applyAlignment="1" applyProtection="1">
      <alignment horizontal="center" vertical="center"/>
      <protection locked="0"/>
    </xf>
    <xf numFmtId="0" fontId="33" fillId="0" borderId="83" xfId="23" applyFont="1" applyBorder="1" applyAlignment="1" applyProtection="1">
      <alignment horizontal="left" vertical="center" indent="1"/>
      <protection locked="0"/>
    </xf>
    <xf numFmtId="166" fontId="19" fillId="0" borderId="84" xfId="22" applyFont="1" applyFill="1" applyBorder="1" applyAlignment="1" applyProtection="1">
      <alignment horizontal="center" vertical="center"/>
    </xf>
    <xf numFmtId="0" fontId="33" fillId="0" borderId="85" xfId="21" applyFont="1" applyBorder="1" applyAlignment="1" applyProtection="1">
      <alignment horizontal="center" vertical="center"/>
      <protection locked="0"/>
    </xf>
    <xf numFmtId="2" fontId="11" fillId="0" borderId="57" xfId="21" applyNumberFormat="1" applyFont="1" applyBorder="1" applyAlignment="1">
      <alignment horizontal="right" vertical="center" indent="1"/>
    </xf>
    <xf numFmtId="4" fontId="11" fillId="0" borderId="57" xfId="21" applyNumberFormat="1" applyFont="1" applyBorder="1" applyAlignment="1">
      <alignment vertical="center"/>
    </xf>
    <xf numFmtId="166" fontId="11" fillId="0" borderId="57" xfId="19" applyFont="1" applyBorder="1" applyAlignment="1">
      <alignment vertical="center"/>
    </xf>
    <xf numFmtId="166" fontId="19" fillId="0" borderId="4" xfId="19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0" fontId="19" fillId="0" borderId="61" xfId="0" applyFont="1" applyBorder="1" applyAlignment="1">
      <alignment horizontal="left" vertical="center" indent="1"/>
    </xf>
    <xf numFmtId="166" fontId="11" fillId="0" borderId="55" xfId="19" applyBorder="1" applyAlignment="1">
      <alignment horizontal="center" vertical="center"/>
    </xf>
    <xf numFmtId="168" fontId="11" fillId="0" borderId="55" xfId="18" applyNumberFormat="1" applyFont="1" applyFill="1" applyBorder="1" applyAlignment="1">
      <alignment horizontal="center" vertical="center"/>
    </xf>
    <xf numFmtId="168" fontId="11" fillId="0" borderId="55" xfId="18" applyNumberFormat="1" applyFont="1" applyFill="1" applyBorder="1" applyAlignment="1">
      <alignment vertical="center"/>
    </xf>
    <xf numFmtId="166" fontId="11" fillId="0" borderId="58" xfId="19" applyBorder="1" applyAlignment="1">
      <alignment vertical="center"/>
    </xf>
    <xf numFmtId="0" fontId="19" fillId="12" borderId="55" xfId="0" applyFont="1" applyFill="1" applyBorder="1" applyAlignment="1">
      <alignment horizontal="center" vertical="center"/>
    </xf>
    <xf numFmtId="0" fontId="19" fillId="12" borderId="56" xfId="0" applyFont="1" applyFill="1" applyBorder="1" applyAlignment="1">
      <alignment horizontal="left" vertical="center"/>
    </xf>
    <xf numFmtId="0" fontId="11" fillId="12" borderId="77" xfId="0" quotePrefix="1" applyFont="1" applyFill="1" applyBorder="1" applyAlignment="1">
      <alignment vertical="center"/>
    </xf>
    <xf numFmtId="166" fontId="11" fillId="12" borderId="55" xfId="19" applyFill="1" applyBorder="1" applyAlignment="1">
      <alignment horizontal="center" vertical="center"/>
    </xf>
    <xf numFmtId="168" fontId="11" fillId="12" borderId="55" xfId="18" applyNumberFormat="1" applyFont="1" applyFill="1" applyBorder="1" applyAlignment="1">
      <alignment horizontal="right" vertical="center" indent="1"/>
    </xf>
    <xf numFmtId="168" fontId="11" fillId="12" borderId="55" xfId="18" applyNumberFormat="1" applyFont="1" applyFill="1" applyBorder="1" applyAlignment="1">
      <alignment vertical="center"/>
    </xf>
    <xf numFmtId="166" fontId="11" fillId="12" borderId="55" xfId="19" applyFill="1" applyBorder="1" applyAlignment="1">
      <alignment vertical="center"/>
    </xf>
    <xf numFmtId="166" fontId="19" fillId="0" borderId="61" xfId="20" applyFont="1" applyFill="1" applyBorder="1" applyAlignment="1" applyProtection="1">
      <alignment horizontal="center" vertical="center"/>
    </xf>
    <xf numFmtId="0" fontId="33" fillId="0" borderId="55" xfId="25" applyFont="1" applyBorder="1" applyAlignment="1" applyProtection="1">
      <alignment horizontal="center" vertical="center"/>
      <protection locked="0"/>
    </xf>
    <xf numFmtId="2" fontId="11" fillId="0" borderId="55" xfId="25" applyNumberFormat="1" applyFont="1" applyBorder="1" applyAlignment="1">
      <alignment horizontal="right" vertical="center" indent="1"/>
    </xf>
    <xf numFmtId="4" fontId="11" fillId="0" borderId="55" xfId="25" applyNumberFormat="1" applyFont="1" applyBorder="1" applyAlignment="1">
      <alignment vertical="center"/>
    </xf>
    <xf numFmtId="166" fontId="11" fillId="0" borderId="55" xfId="19" applyBorder="1" applyAlignment="1">
      <alignment vertical="center"/>
    </xf>
    <xf numFmtId="2" fontId="11" fillId="0" borderId="55" xfId="25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5" fillId="0" borderId="1" xfId="0" quotePrefix="1" applyFont="1" applyBorder="1" applyAlignment="1">
      <alignment vertical="center"/>
    </xf>
    <xf numFmtId="166" fontId="5" fillId="0" borderId="1" xfId="19" applyFont="1" applyBorder="1" applyAlignment="1">
      <alignment horizontal="center" vertical="center"/>
    </xf>
    <xf numFmtId="168" fontId="5" fillId="0" borderId="1" xfId="18" applyNumberFormat="1" applyFont="1" applyFill="1" applyBorder="1" applyAlignment="1">
      <alignment horizontal="center" vertical="center"/>
    </xf>
    <xf numFmtId="168" fontId="5" fillId="0" borderId="1" xfId="18" applyNumberFormat="1" applyFont="1" applyFill="1" applyBorder="1" applyAlignment="1">
      <alignment vertical="center"/>
    </xf>
    <xf numFmtId="166" fontId="5" fillId="0" borderId="8" xfId="19" applyFont="1" applyBorder="1" applyAlignment="1">
      <alignment vertical="center"/>
    </xf>
    <xf numFmtId="166" fontId="7" fillId="0" borderId="4" xfId="19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86" xfId="0" applyFont="1" applyBorder="1" applyAlignment="1">
      <alignment horizontal="right" vertical="center"/>
    </xf>
    <xf numFmtId="0" fontId="7" fillId="0" borderId="87" xfId="0" applyFont="1" applyBorder="1" applyAlignment="1">
      <alignment horizontal="right" vertical="center"/>
    </xf>
    <xf numFmtId="0" fontId="7" fillId="0" borderId="5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66" fontId="7" fillId="0" borderId="3" xfId="19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37" fillId="0" borderId="77" xfId="0" applyFont="1" applyBorder="1"/>
    <xf numFmtId="0" fontId="26" fillId="0" borderId="58" xfId="0" applyFont="1" applyBorder="1" applyAlignment="1">
      <alignment horizontal="center"/>
    </xf>
    <xf numFmtId="168" fontId="26" fillId="0" borderId="58" xfId="18" applyNumberFormat="1" applyFont="1" applyBorder="1" applyAlignment="1">
      <alignment horizontal="center"/>
    </xf>
    <xf numFmtId="168" fontId="26" fillId="0" borderId="55" xfId="18" applyNumberFormat="1" applyFont="1" applyBorder="1"/>
    <xf numFmtId="166" fontId="26" fillId="0" borderId="55" xfId="19" applyFont="1" applyBorder="1"/>
    <xf numFmtId="0" fontId="19" fillId="12" borderId="56" xfId="0" applyFont="1" applyFill="1" applyBorder="1" applyAlignment="1">
      <alignment vertical="center"/>
    </xf>
    <xf numFmtId="168" fontId="11" fillId="12" borderId="55" xfId="18" applyNumberFormat="1" applyFont="1" applyFill="1" applyBorder="1" applyAlignment="1">
      <alignment horizontal="center" vertical="center"/>
    </xf>
    <xf numFmtId="167" fontId="11" fillId="0" borderId="55" xfId="26" applyNumberFormat="1" applyFont="1" applyFill="1" applyBorder="1" applyAlignment="1">
      <alignment horizontal="center"/>
    </xf>
    <xf numFmtId="0" fontId="11" fillId="0" borderId="55" xfId="20" applyNumberFormat="1" applyFont="1" applyFill="1" applyBorder="1" applyAlignment="1" applyProtection="1">
      <alignment horizontal="center"/>
    </xf>
    <xf numFmtId="166" fontId="19" fillId="0" borderId="62" xfId="19" applyFont="1" applyBorder="1" applyAlignment="1">
      <alignment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vertical="center"/>
    </xf>
    <xf numFmtId="0" fontId="11" fillId="0" borderId="78" xfId="0" quotePrefix="1" applyFont="1" applyFill="1" applyBorder="1" applyAlignment="1">
      <alignment vertical="center"/>
    </xf>
    <xf numFmtId="166" fontId="11" fillId="0" borderId="55" xfId="19" applyFill="1" applyBorder="1" applyAlignment="1">
      <alignment horizontal="center" vertical="center"/>
    </xf>
    <xf numFmtId="166" fontId="11" fillId="0" borderId="55" xfId="19" applyFill="1" applyBorder="1" applyAlignment="1">
      <alignment vertical="center"/>
    </xf>
    <xf numFmtId="166" fontId="11" fillId="0" borderId="55" xfId="20" applyFont="1" applyFill="1" applyBorder="1" applyAlignment="1" applyProtection="1">
      <alignment horizontal="center"/>
    </xf>
    <xf numFmtId="39" fontId="11" fillId="0" borderId="55" xfId="28" applyNumberFormat="1" applyFont="1" applyBorder="1" applyAlignment="1">
      <alignment vertical="center"/>
    </xf>
    <xf numFmtId="0" fontId="11" fillId="0" borderId="10" xfId="30" applyBorder="1" applyAlignment="1">
      <alignment horizontal="left" indent="1"/>
    </xf>
    <xf numFmtId="2" fontId="11" fillId="0" borderId="56" xfId="8" applyNumberFormat="1" applyFont="1" applyFill="1" applyBorder="1" applyAlignment="1" applyProtection="1">
      <alignment horizontal="left" vertical="center" wrapText="1" indent="1"/>
    </xf>
    <xf numFmtId="171" fontId="11" fillId="0" borderId="55" xfId="0" applyNumberFormat="1" applyFont="1" applyBorder="1" applyAlignment="1">
      <alignment horizontal="right" vertical="center"/>
    </xf>
    <xf numFmtId="0" fontId="11" fillId="0" borderId="58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166" fontId="26" fillId="0" borderId="87" xfId="19" applyFont="1" applyBorder="1"/>
    <xf numFmtId="168" fontId="11" fillId="0" borderId="58" xfId="18" applyNumberFormat="1" applyFont="1" applyFill="1" applyBorder="1" applyAlignment="1">
      <alignment horizontal="center" vertical="center"/>
    </xf>
    <xf numFmtId="168" fontId="11" fillId="0" borderId="58" xfId="18" applyNumberFormat="1" applyFont="1" applyFill="1" applyBorder="1" applyAlignment="1">
      <alignment vertical="center"/>
    </xf>
    <xf numFmtId="0" fontId="19" fillId="12" borderId="80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left" indent="1"/>
    </xf>
    <xf numFmtId="0" fontId="11" fillId="0" borderId="58" xfId="20" applyNumberFormat="1" applyFont="1" applyFill="1" applyBorder="1" applyAlignment="1" applyProtection="1">
      <alignment horizontal="center"/>
    </xf>
    <xf numFmtId="166" fontId="11" fillId="0" borderId="58" xfId="20" applyFont="1" applyFill="1" applyBorder="1" applyAlignment="1" applyProtection="1">
      <alignment horizontal="center"/>
    </xf>
    <xf numFmtId="39" fontId="11" fillId="0" borderId="58" xfId="31" applyNumberFormat="1" applyFont="1" applyBorder="1" applyAlignment="1">
      <alignment vertical="center"/>
    </xf>
    <xf numFmtId="0" fontId="33" fillId="0" borderId="10" xfId="30" applyFont="1" applyBorder="1" applyAlignment="1">
      <alignment horizontal="left" indent="1"/>
    </xf>
    <xf numFmtId="39" fontId="11" fillId="0" borderId="55" xfId="31" applyNumberFormat="1" applyFont="1" applyBorder="1" applyAlignment="1">
      <alignment vertical="center"/>
    </xf>
    <xf numFmtId="166" fontId="11" fillId="0" borderId="55" xfId="26" applyFont="1" applyFill="1" applyBorder="1" applyAlignment="1">
      <alignment horizontal="center" vertical="center"/>
    </xf>
    <xf numFmtId="0" fontId="11" fillId="0" borderId="56" xfId="0" applyFont="1" applyBorder="1"/>
    <xf numFmtId="0" fontId="11" fillId="0" borderId="61" xfId="0" applyFont="1" applyBorder="1" applyAlignment="1">
      <alignment horizontal="left" indent="1"/>
    </xf>
    <xf numFmtId="166" fontId="11" fillId="0" borderId="55" xfId="20" applyFont="1" applyFill="1" applyBorder="1" applyAlignment="1" applyProtection="1">
      <alignment horizontal="right" indent="1"/>
    </xf>
    <xf numFmtId="0" fontId="11" fillId="0" borderId="61" xfId="30" applyBorder="1" applyAlignment="1">
      <alignment horizontal="left" indent="1"/>
    </xf>
    <xf numFmtId="39" fontId="11" fillId="0" borderId="7" xfId="31" applyNumberFormat="1" applyFont="1" applyBorder="1" applyAlignment="1">
      <alignment vertical="center"/>
    </xf>
    <xf numFmtId="0" fontId="11" fillId="0" borderId="81" xfId="30" applyBorder="1" applyAlignment="1">
      <alignment horizontal="left" indent="1"/>
    </xf>
    <xf numFmtId="0" fontId="11" fillId="0" borderId="61" xfId="20" applyNumberFormat="1" applyFont="1" applyFill="1" applyBorder="1" applyAlignment="1" applyProtection="1">
      <alignment horizontal="center"/>
    </xf>
    <xf numFmtId="171" fontId="11" fillId="0" borderId="58" xfId="0" applyNumberFormat="1" applyFont="1" applyBorder="1" applyAlignment="1">
      <alignment horizontal="right" vertical="center"/>
    </xf>
    <xf numFmtId="166" fontId="11" fillId="0" borderId="61" xfId="20" applyFont="1" applyFill="1" applyBorder="1" applyAlignment="1" applyProtection="1">
      <alignment horizontal="right" indent="1"/>
    </xf>
    <xf numFmtId="171" fontId="11" fillId="0" borderId="4" xfId="0" applyNumberFormat="1" applyFont="1" applyBorder="1" applyAlignment="1">
      <alignment horizontal="right" vertical="center"/>
    </xf>
    <xf numFmtId="0" fontId="11" fillId="0" borderId="88" xfId="30" applyBorder="1" applyAlignment="1">
      <alignment horizontal="left" indent="1"/>
    </xf>
    <xf numFmtId="0" fontId="11" fillId="0" borderId="88" xfId="20" applyNumberFormat="1" applyFont="1" applyFill="1" applyBorder="1" applyAlignment="1" applyProtection="1">
      <alignment horizontal="center"/>
    </xf>
    <xf numFmtId="166" fontId="11" fillId="0" borderId="88" xfId="20" applyFont="1" applyFill="1" applyBorder="1" applyAlignment="1" applyProtection="1">
      <alignment horizontal="center"/>
    </xf>
    <xf numFmtId="39" fontId="11" fillId="0" borderId="57" xfId="31" applyNumberFormat="1" applyFont="1" applyBorder="1" applyAlignment="1">
      <alignment vertical="center"/>
    </xf>
    <xf numFmtId="166" fontId="11" fillId="0" borderId="57" xfId="19" applyBorder="1" applyAlignment="1">
      <alignment vertical="center"/>
    </xf>
    <xf numFmtId="0" fontId="11" fillId="0" borderId="55" xfId="20" applyNumberFormat="1" applyFont="1" applyFill="1" applyBorder="1" applyAlignment="1" applyProtection="1">
      <alignment horizontal="center" vertical="center"/>
    </xf>
    <xf numFmtId="166" fontId="11" fillId="0" borderId="55" xfId="26" applyFont="1" applyFill="1" applyBorder="1" applyAlignment="1">
      <alignment horizontal="right" vertical="center"/>
    </xf>
    <xf numFmtId="0" fontId="33" fillId="0" borderId="61" xfId="30" applyFont="1" applyBorder="1" applyAlignment="1">
      <alignment horizontal="left" vertical="center" indent="1"/>
    </xf>
    <xf numFmtId="0" fontId="28" fillId="4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27" fillId="4" borderId="0" xfId="0" applyFont="1" applyFill="1" applyAlignment="1">
      <alignment vertical="center"/>
    </xf>
    <xf numFmtId="0" fontId="7" fillId="13" borderId="67" xfId="0" applyFont="1" applyFill="1" applyBorder="1" applyAlignment="1">
      <alignment horizontal="center" vertical="center"/>
    </xf>
    <xf numFmtId="166" fontId="7" fillId="13" borderId="67" xfId="19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166" fontId="7" fillId="13" borderId="3" xfId="19" applyFont="1" applyFill="1" applyBorder="1" applyAlignment="1">
      <alignment horizontal="center" vertical="center"/>
    </xf>
    <xf numFmtId="0" fontId="7" fillId="13" borderId="73" xfId="0" applyFont="1" applyFill="1" applyBorder="1" applyAlignment="1">
      <alignment horizontal="center" vertical="center"/>
    </xf>
    <xf numFmtId="166" fontId="7" fillId="13" borderId="73" xfId="19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6" fontId="5" fillId="4" borderId="3" xfId="19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6" fontId="5" fillId="0" borderId="3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0" fontId="5" fillId="4" borderId="3" xfId="0" applyFont="1" applyFill="1" applyBorder="1" applyAlignment="1">
      <alignment horizontal="right" vertical="center" indent="1"/>
    </xf>
    <xf numFmtId="0" fontId="5" fillId="0" borderId="0" xfId="0" applyFont="1" applyAlignment="1">
      <alignment horizontal="left" vertical="center" inden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5" borderId="70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vertical="center"/>
    </xf>
    <xf numFmtId="166" fontId="5" fillId="0" borderId="71" xfId="19" applyFont="1" applyBorder="1" applyAlignment="1">
      <alignment horizontal="center" vertical="center"/>
    </xf>
    <xf numFmtId="43" fontId="5" fillId="0" borderId="67" xfId="0" applyNumberFormat="1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166" fontId="5" fillId="0" borderId="7" xfId="19" applyFont="1" applyBorder="1" applyAlignment="1">
      <alignment horizontal="center" vertical="center"/>
    </xf>
    <xf numFmtId="43" fontId="5" fillId="0" borderId="3" xfId="0" applyNumberFormat="1" applyFont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66" fontId="7" fillId="0" borderId="8" xfId="19" applyFont="1" applyBorder="1" applyAlignment="1">
      <alignment horizontal="center" vertical="center"/>
    </xf>
    <xf numFmtId="43" fontId="7" fillId="0" borderId="4" xfId="0" applyNumberFormat="1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 indent="4"/>
    </xf>
    <xf numFmtId="0" fontId="1" fillId="0" borderId="0" xfId="0" applyFont="1" applyAlignment="1">
      <alignment horizontal="right" vertical="center" indent="2"/>
    </xf>
    <xf numFmtId="0" fontId="5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 indent="7"/>
    </xf>
    <xf numFmtId="0" fontId="5" fillId="4" borderId="0" xfId="0" applyFont="1" applyFill="1" applyAlignment="1">
      <alignment horizontal="lef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168" fontId="11" fillId="0" borderId="72" xfId="18" applyNumberFormat="1" applyFont="1" applyFill="1" applyBorder="1" applyAlignment="1">
      <alignment vertical="center"/>
    </xf>
    <xf numFmtId="166" fontId="11" fillId="0" borderId="72" xfId="19" applyBorder="1" applyAlignment="1">
      <alignment vertical="center"/>
    </xf>
    <xf numFmtId="166" fontId="2" fillId="0" borderId="62" xfId="0" applyNumberFormat="1" applyFont="1" applyBorder="1" applyAlignment="1">
      <alignment vertical="center"/>
    </xf>
    <xf numFmtId="0" fontId="0" fillId="0" borderId="0" xfId="0" applyBorder="1"/>
    <xf numFmtId="166" fontId="11" fillId="0" borderId="38" xfId="20" applyFont="1" applyFill="1" applyBorder="1" applyAlignment="1" applyProtection="1">
      <alignment horizontal="left" vertical="center"/>
    </xf>
    <xf numFmtId="166" fontId="11" fillId="0" borderId="38" xfId="20" quotePrefix="1" applyFont="1" applyFill="1" applyBorder="1" applyAlignment="1" applyProtection="1">
      <alignment horizontal="left" vertical="center"/>
    </xf>
    <xf numFmtId="0" fontId="11" fillId="0" borderId="38" xfId="27" applyFont="1" applyBorder="1" applyAlignment="1">
      <alignment horizontal="left" indent="1"/>
    </xf>
    <xf numFmtId="0" fontId="11" fillId="0" borderId="38" xfId="27" quotePrefix="1" applyFont="1" applyBorder="1" applyAlignment="1">
      <alignment horizontal="left" indent="1"/>
    </xf>
    <xf numFmtId="0" fontId="11" fillId="0" borderId="38" xfId="29" applyFont="1" applyBorder="1" applyAlignment="1">
      <alignment horizontal="left" indent="1"/>
    </xf>
    <xf numFmtId="0" fontId="11" fillId="0" borderId="38" xfId="29" quotePrefix="1" applyFont="1" applyBorder="1" applyAlignment="1">
      <alignment horizontal="left" indent="1"/>
    </xf>
    <xf numFmtId="0" fontId="11" fillId="0" borderId="38" xfId="29" applyFont="1" applyBorder="1" applyAlignment="1">
      <alignment horizontal="left"/>
    </xf>
    <xf numFmtId="0" fontId="11" fillId="0" borderId="38" xfId="30" applyBorder="1" applyAlignment="1">
      <alignment horizontal="left" indent="1"/>
    </xf>
    <xf numFmtId="0" fontId="11" fillId="0" borderId="38" xfId="30" quotePrefix="1" applyBorder="1" applyAlignment="1">
      <alignment horizontal="left" indent="1"/>
    </xf>
    <xf numFmtId="0" fontId="33" fillId="0" borderId="38" xfId="30" applyFont="1" applyBorder="1"/>
    <xf numFmtId="2" fontId="11" fillId="0" borderId="38" xfId="8" applyNumberFormat="1" applyFont="1" applyFill="1" applyBorder="1" applyAlignment="1" applyProtection="1">
      <alignment horizontal="left" vertical="center" indent="1"/>
    </xf>
    <xf numFmtId="0" fontId="33" fillId="0" borderId="38" xfId="30" applyFont="1" applyBorder="1" applyAlignment="1">
      <alignment horizontal="left" indent="1"/>
    </xf>
    <xf numFmtId="0" fontId="33" fillId="0" borderId="38" xfId="30" applyFont="1" applyBorder="1" applyAlignment="1">
      <alignment horizontal="left" vertical="center" indent="1"/>
    </xf>
    <xf numFmtId="0" fontId="33" fillId="0" borderId="38" xfId="30" quotePrefix="1" applyFont="1" applyBorder="1" applyAlignment="1">
      <alignment horizontal="left" vertical="center" indent="1"/>
    </xf>
    <xf numFmtId="171" fontId="11" fillId="0" borderId="55" xfId="0" applyNumberFormat="1" applyFont="1" applyFill="1" applyBorder="1" applyAlignment="1">
      <alignment horizontal="right" vertical="center"/>
    </xf>
    <xf numFmtId="0" fontId="33" fillId="0" borderId="38" xfId="30" quotePrefix="1" applyFont="1" applyFill="1" applyBorder="1" applyAlignment="1">
      <alignment horizontal="left" vertical="center" indent="1"/>
    </xf>
    <xf numFmtId="0" fontId="11" fillId="0" borderId="56" xfId="0" applyFont="1" applyFill="1" applyBorder="1" applyAlignment="1">
      <alignment horizontal="left" indent="1"/>
    </xf>
    <xf numFmtId="0" fontId="11" fillId="0" borderId="38" xfId="2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left" indent="1"/>
    </xf>
    <xf numFmtId="166" fontId="11" fillId="0" borderId="38" xfId="20" applyFont="1" applyFill="1" applyBorder="1" applyAlignment="1" applyProtection="1">
      <alignment horizontal="right" indent="1"/>
    </xf>
    <xf numFmtId="2" fontId="11" fillId="0" borderId="61" xfId="8" applyNumberFormat="1" applyFont="1" applyFill="1" applyBorder="1" applyAlignment="1" applyProtection="1">
      <alignment horizontal="left" vertical="center" indent="1"/>
    </xf>
    <xf numFmtId="0" fontId="11" fillId="0" borderId="56" xfId="0" applyFont="1" applyBorder="1" applyAlignment="1">
      <alignment vertical="center"/>
    </xf>
    <xf numFmtId="168" fontId="11" fillId="0" borderId="55" xfId="18" applyNumberFormat="1" applyFont="1" applyFill="1" applyBorder="1" applyAlignment="1">
      <alignment horizontal="right" vertical="center"/>
    </xf>
    <xf numFmtId="0" fontId="7" fillId="13" borderId="70" xfId="0" applyFont="1" applyFill="1" applyBorder="1" applyAlignment="1">
      <alignment horizontal="center" vertical="center"/>
    </xf>
    <xf numFmtId="0" fontId="7" fillId="13" borderId="68" xfId="0" applyFont="1" applyFill="1" applyBorder="1" applyAlignment="1">
      <alignment horizontal="center" vertical="center"/>
    </xf>
    <xf numFmtId="0" fontId="7" fillId="13" borderId="71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13" borderId="74" xfId="0" applyFont="1" applyFill="1" applyBorder="1" applyAlignment="1">
      <alignment horizontal="center" vertical="center"/>
    </xf>
    <xf numFmtId="0" fontId="7" fillId="13" borderId="89" xfId="0" applyFont="1" applyFill="1" applyBorder="1" applyAlignment="1">
      <alignment horizontal="center" vertical="center"/>
    </xf>
    <xf numFmtId="0" fontId="7" fillId="13" borderId="75" xfId="0" applyFont="1" applyFill="1" applyBorder="1" applyAlignment="1">
      <alignment horizontal="center" vertical="center"/>
    </xf>
    <xf numFmtId="0" fontId="40" fillId="4" borderId="0" xfId="0" applyFont="1" applyFill="1" applyAlignment="1">
      <alignment horizontal="center" vertical="top"/>
    </xf>
    <xf numFmtId="0" fontId="2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4" fillId="0" borderId="70" xfId="0" applyFont="1" applyBorder="1" applyAlignment="1">
      <alignment horizontal="left" vertical="center" indent="1"/>
    </xf>
    <xf numFmtId="0" fontId="24" fillId="0" borderId="68" xfId="0" applyFont="1" applyBorder="1" applyAlignment="1">
      <alignment horizontal="left" vertical="center" indent="1"/>
    </xf>
    <xf numFmtId="0" fontId="5" fillId="0" borderId="68" xfId="0" applyFont="1" applyBorder="1" applyAlignment="1">
      <alignment horizontal="left" vertical="center" wrapText="1"/>
    </xf>
    <xf numFmtId="0" fontId="5" fillId="0" borderId="68" xfId="0" applyFont="1" applyBorder="1" applyAlignment="1">
      <alignment vertical="center" wrapText="1"/>
    </xf>
    <xf numFmtId="166" fontId="11" fillId="0" borderId="38" xfId="20" quotePrefix="1" applyFont="1" applyFill="1" applyBorder="1" applyAlignment="1" applyProtection="1">
      <alignment horizontal="left" vertical="center" wrapText="1"/>
    </xf>
    <xf numFmtId="166" fontId="11" fillId="0" borderId="56" xfId="20" quotePrefix="1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7" fillId="11" borderId="67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70" xfId="0" applyFont="1" applyFill="1" applyBorder="1" applyAlignment="1">
      <alignment horizontal="center" vertical="center"/>
    </xf>
    <xf numFmtId="0" fontId="7" fillId="11" borderId="71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168" fontId="7" fillId="11" borderId="67" xfId="18" applyNumberFormat="1" applyFont="1" applyFill="1" applyBorder="1" applyAlignment="1">
      <alignment horizontal="center" vertical="center"/>
    </xf>
    <xf numFmtId="168" fontId="7" fillId="11" borderId="3" xfId="18" applyNumberFormat="1" applyFont="1" applyFill="1" applyBorder="1" applyAlignment="1">
      <alignment horizontal="center" vertical="center"/>
    </xf>
    <xf numFmtId="168" fontId="7" fillId="11" borderId="4" xfId="18" applyNumberFormat="1" applyFont="1" applyFill="1" applyBorder="1" applyAlignment="1">
      <alignment horizontal="center" vertical="center"/>
    </xf>
    <xf numFmtId="0" fontId="19" fillId="0" borderId="64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65" xfId="0" applyFont="1" applyBorder="1" applyAlignment="1">
      <alignment horizontal="right" vertical="center"/>
    </xf>
    <xf numFmtId="0" fontId="19" fillId="0" borderId="66" xfId="0" applyFont="1" applyBorder="1" applyAlignment="1">
      <alignment horizontal="right" vertical="center"/>
    </xf>
    <xf numFmtId="0" fontId="33" fillId="0" borderId="38" xfId="30" applyFont="1" applyBorder="1" applyAlignment="1">
      <alignment horizontal="left" vertical="center" wrapText="1" indent="1"/>
    </xf>
    <xf numFmtId="0" fontId="33" fillId="0" borderId="56" xfId="30" applyFont="1" applyBorder="1" applyAlignment="1">
      <alignment horizontal="left" vertical="center" wrapText="1" indent="1"/>
    </xf>
    <xf numFmtId="0" fontId="2" fillId="0" borderId="64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9" fillId="0" borderId="32" xfId="3" quotePrefix="1" applyFont="1" applyFill="1" applyBorder="1" applyAlignment="1">
      <alignment horizontal="right" vertical="center"/>
    </xf>
    <xf numFmtId="0" fontId="19" fillId="0" borderId="33" xfId="3" quotePrefix="1" applyFont="1" applyFill="1" applyBorder="1" applyAlignment="1">
      <alignment horizontal="right" vertical="center"/>
    </xf>
    <xf numFmtId="0" fontId="7" fillId="10" borderId="29" xfId="3" applyFont="1" applyFill="1" applyBorder="1" applyAlignment="1">
      <alignment horizontal="center" vertical="center"/>
    </xf>
    <xf numFmtId="0" fontId="7" fillId="10" borderId="4" xfId="3" applyFont="1" applyFill="1" applyBorder="1" applyAlignment="1">
      <alignment horizontal="center" vertical="center"/>
    </xf>
    <xf numFmtId="0" fontId="7" fillId="10" borderId="26" xfId="3" applyFont="1" applyFill="1" applyBorder="1" applyAlignment="1">
      <alignment horizontal="center" vertical="center"/>
    </xf>
    <xf numFmtId="0" fontId="7" fillId="10" borderId="27" xfId="3" applyFont="1" applyFill="1" applyBorder="1" applyAlignment="1">
      <alignment horizontal="center" vertical="center"/>
    </xf>
    <xf numFmtId="0" fontId="7" fillId="10" borderId="28" xfId="3" applyFont="1" applyFill="1" applyBorder="1" applyAlignment="1">
      <alignment horizontal="center" vertical="center"/>
    </xf>
    <xf numFmtId="0" fontId="7" fillId="10" borderId="6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10" borderId="8" xfId="3" applyFont="1" applyFill="1" applyBorder="1" applyAlignment="1">
      <alignment horizontal="center" vertical="center"/>
    </xf>
    <xf numFmtId="0" fontId="7" fillId="6" borderId="17" xfId="13" applyFont="1" applyFill="1" applyBorder="1" applyAlignment="1">
      <alignment horizontal="right" vertical="center" wrapText="1"/>
    </xf>
    <xf numFmtId="0" fontId="7" fillId="6" borderId="18" xfId="13" applyFont="1" applyFill="1" applyBorder="1" applyAlignment="1">
      <alignment horizontal="right" vertical="center" wrapText="1"/>
    </xf>
    <xf numFmtId="0" fontId="7" fillId="6" borderId="19" xfId="13" applyFont="1" applyFill="1" applyBorder="1" applyAlignment="1">
      <alignment horizontal="right" vertical="center" wrapText="1"/>
    </xf>
    <xf numFmtId="0" fontId="7" fillId="0" borderId="0" xfId="13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left" vertical="center"/>
    </xf>
    <xf numFmtId="0" fontId="7" fillId="6" borderId="23" xfId="13" applyFont="1" applyFill="1" applyBorder="1" applyAlignment="1">
      <alignment horizontal="right" vertical="center" wrapText="1"/>
    </xf>
    <xf numFmtId="0" fontId="7" fillId="6" borderId="12" xfId="13" applyFont="1" applyFill="1" applyBorder="1" applyAlignment="1">
      <alignment horizontal="right" vertical="center" wrapText="1"/>
    </xf>
    <xf numFmtId="0" fontId="7" fillId="6" borderId="24" xfId="13" applyFont="1" applyFill="1" applyBorder="1" applyAlignment="1">
      <alignment horizontal="right" vertical="center" wrapText="1"/>
    </xf>
    <xf numFmtId="0" fontId="8" fillId="0" borderId="25" xfId="13" applyFont="1" applyFill="1" applyBorder="1" applyAlignment="1">
      <alignment horizontal="left" vertical="center" wrapText="1"/>
    </xf>
    <xf numFmtId="0" fontId="15" fillId="0" borderId="17" xfId="13" applyFont="1" applyFill="1" applyBorder="1" applyAlignment="1">
      <alignment horizontal="right" vertical="center" wrapText="1"/>
    </xf>
    <xf numFmtId="0" fontId="15" fillId="0" borderId="18" xfId="13" applyFont="1" applyFill="1" applyBorder="1" applyAlignment="1">
      <alignment horizontal="right" vertical="center" wrapText="1"/>
    </xf>
    <xf numFmtId="0" fontId="15" fillId="0" borderId="19" xfId="13" applyFont="1" applyFill="1" applyBorder="1" applyAlignment="1">
      <alignment horizontal="right" vertical="center" wrapText="1"/>
    </xf>
  </cellXfs>
  <cellStyles count="32">
    <cellStyle name="Comma" xfId="15" builtinId="3"/>
    <cellStyle name="Comma [0] 10" xfId="18"/>
    <cellStyle name="Comma [0] 17 2" xfId="2"/>
    <cellStyle name="Comma [0] 2 2" xfId="6"/>
    <cellStyle name="Comma [0] 4" xfId="11"/>
    <cellStyle name="Comma 11 2 3" xfId="26"/>
    <cellStyle name="Comma 11_METODOLOGI" xfId="19"/>
    <cellStyle name="Comma 2" xfId="4"/>
    <cellStyle name="Comma 2 2" xfId="7"/>
    <cellStyle name="Comma 2 2 2" xfId="8"/>
    <cellStyle name="Comma 4 6" xfId="22"/>
    <cellStyle name="Comma 4 7" xfId="20"/>
    <cellStyle name="Comma 6" xfId="14"/>
    <cellStyle name="Comma 6 2" xfId="12"/>
    <cellStyle name="Currency" xfId="1" builtinId="4"/>
    <cellStyle name="Normal" xfId="0" builtinId="0"/>
    <cellStyle name="Normal 10 5" xfId="29"/>
    <cellStyle name="Normal 19 2" xfId="16"/>
    <cellStyle name="Normal 2" xfId="3"/>
    <cellStyle name="Normal 2 2" xfId="5"/>
    <cellStyle name="Normal 2 2 2 2" xfId="30"/>
    <cellStyle name="Normal 2 4" xfId="17"/>
    <cellStyle name="Normal 2 9 2 2" xfId="27"/>
    <cellStyle name="Normal 46" xfId="23"/>
    <cellStyle name="Normal 47" xfId="21"/>
    <cellStyle name="Normal 5" xfId="10"/>
    <cellStyle name="Normal 50" xfId="25"/>
    <cellStyle name="Normal 62" xfId="28"/>
    <cellStyle name="Normal 7" xfId="13"/>
    <cellStyle name="Normal 7 2 6" xfId="9"/>
    <cellStyle name="Normal 70" xfId="31"/>
    <cellStyle name="Normal_RAB.Ajuan Bogor'08(Revisi) 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244</xdr:row>
      <xdr:rowOff>190500</xdr:rowOff>
    </xdr:from>
    <xdr:to>
      <xdr:col>0</xdr:col>
      <xdr:colOff>219075</xdr:colOff>
      <xdr:row>244</xdr:row>
      <xdr:rowOff>247650</xdr:rowOff>
    </xdr:to>
    <xdr:sp macro="" textlink="">
      <xdr:nvSpPr>
        <xdr:cNvPr id="2" name="Shape 2"/>
        <xdr:cNvSpPr>
          <a:spLocks/>
        </xdr:cNvSpPr>
      </xdr:nvSpPr>
      <xdr:spPr bwMode="auto">
        <a:xfrm>
          <a:off x="209550" y="49891950"/>
          <a:ext cx="9525" cy="57150"/>
        </a:xfrm>
        <a:custGeom>
          <a:avLst/>
          <a:gdLst>
            <a:gd name="T0" fmla="*/ 6063 w 10160"/>
            <a:gd name="T1" fmla="*/ 0 h 55880"/>
            <a:gd name="T2" fmla="*/ 0 w 10160"/>
            <a:gd name="T3" fmla="*/ 0 h 55880"/>
            <a:gd name="T4" fmla="*/ 0 w 10160"/>
            <a:gd name="T5" fmla="*/ 66884 h 55880"/>
            <a:gd name="T6" fmla="*/ 6063 w 10160"/>
            <a:gd name="T7" fmla="*/ 66884 h 55880"/>
            <a:gd name="T8" fmla="*/ 6063 w 10160"/>
            <a:gd name="T9" fmla="*/ 0 h 558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160"/>
            <a:gd name="T16" fmla="*/ 0 h 55880"/>
            <a:gd name="T17" fmla="*/ 10160 w 10160"/>
            <a:gd name="T18" fmla="*/ 55880 h 5588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160" h="55880">
              <a:moveTo>
                <a:pt x="10159" y="0"/>
              </a:moveTo>
              <a:lnTo>
                <a:pt x="0" y="0"/>
              </a:lnTo>
              <a:lnTo>
                <a:pt x="0" y="55879"/>
              </a:lnTo>
              <a:lnTo>
                <a:pt x="10159" y="55879"/>
              </a:lnTo>
              <a:lnTo>
                <a:pt x="10159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3267075</xdr:colOff>
      <xdr:row>244</xdr:row>
      <xdr:rowOff>190500</xdr:rowOff>
    </xdr:from>
    <xdr:to>
      <xdr:col>1</xdr:col>
      <xdr:colOff>3276600</xdr:colOff>
      <xdr:row>244</xdr:row>
      <xdr:rowOff>247650</xdr:rowOff>
    </xdr:to>
    <xdr:sp macro="" textlink="">
      <xdr:nvSpPr>
        <xdr:cNvPr id="3" name="Shape 3"/>
        <xdr:cNvSpPr>
          <a:spLocks/>
        </xdr:cNvSpPr>
      </xdr:nvSpPr>
      <xdr:spPr bwMode="auto">
        <a:xfrm>
          <a:off x="3590925" y="49891950"/>
          <a:ext cx="9525" cy="57150"/>
        </a:xfrm>
        <a:custGeom>
          <a:avLst/>
          <a:gdLst>
            <a:gd name="T0" fmla="*/ 6063 w 10160"/>
            <a:gd name="T1" fmla="*/ 0 h 55880"/>
            <a:gd name="T2" fmla="*/ 0 w 10160"/>
            <a:gd name="T3" fmla="*/ 0 h 55880"/>
            <a:gd name="T4" fmla="*/ 0 w 10160"/>
            <a:gd name="T5" fmla="*/ 66884 h 55880"/>
            <a:gd name="T6" fmla="*/ 6063 w 10160"/>
            <a:gd name="T7" fmla="*/ 66884 h 55880"/>
            <a:gd name="T8" fmla="*/ 6063 w 10160"/>
            <a:gd name="T9" fmla="*/ 0 h 558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160"/>
            <a:gd name="T16" fmla="*/ 0 h 55880"/>
            <a:gd name="T17" fmla="*/ 10160 w 10160"/>
            <a:gd name="T18" fmla="*/ 55880 h 5588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160" h="55880">
              <a:moveTo>
                <a:pt x="10159" y="0"/>
              </a:moveTo>
              <a:lnTo>
                <a:pt x="0" y="0"/>
              </a:lnTo>
              <a:lnTo>
                <a:pt x="0" y="55879"/>
              </a:lnTo>
              <a:lnTo>
                <a:pt x="10159" y="55879"/>
              </a:lnTo>
              <a:lnTo>
                <a:pt x="10159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Q%20Ars%20Str%207%20april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.ANALISA%20HARGA%20SATUAN%20ME.re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sip%20Project%20Mep\PROJECT\2021\Anton\Audotarium\RAB%20MEP%20JASA%20RAHARJA\Rab%20PLUMBIN,HYDRANT,TATA%20SU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line"/>
      <sheetName val="REKAP"/>
      <sheetName val="RAB-PERSIAPAN"/>
      <sheetName val="RAB-ARS"/>
      <sheetName val="PEK. STRUKTUR"/>
      <sheetName val="RAB-PRA&amp;SARANA"/>
      <sheetName val="TIEBEAM"/>
      <sheetName val="KOL.PEDESTAL"/>
      <sheetName val="BAJA &amp; SPACE FRAME"/>
      <sheetName val="REKAP TOTAL"/>
      <sheetName val="RAB "/>
      <sheetName val="REKAP AHS"/>
      <sheetName val="AHS"/>
      <sheetName val="BAHAN &amp; UPAH"/>
      <sheetName val="AHS Pintu &amp; Jendela"/>
      <sheetName val="BACK UP AHS"/>
      <sheetName val="Fasad"/>
      <sheetName val="qty Dinding"/>
      <sheetName val="qty Lantai"/>
      <sheetName val="ans pintu"/>
      <sheetName val="qty Plafond"/>
      <sheetName val="PEK.PONDASI"/>
      <sheetName val="qty Kolom"/>
      <sheetName val="Pek. Balok (8)"/>
      <sheetName val="Pek. Kolom (8)"/>
      <sheetName val="Pek. Balok (7)"/>
      <sheetName val="Pek. Kolom (7)"/>
      <sheetName val="Pek. Balok (6)"/>
      <sheetName val="Pek. Kolom &amp; Pelat Genset(6)"/>
      <sheetName val="Pek. Balok (5)"/>
      <sheetName val="Pek. Kolom (5)"/>
      <sheetName val="Pek. Balok (4)"/>
      <sheetName val="Pek. Kolom (4)"/>
      <sheetName val="Pek. Balok (3)"/>
      <sheetName val="Pek. Kolom (3)"/>
      <sheetName val="Dinding Beton (3)"/>
      <sheetName val="Pek. Balok"/>
      <sheetName val="Pek. Kolom"/>
      <sheetName val="Pek. Balok (2)"/>
      <sheetName val="Pek. Kolom (2)"/>
      <sheetName val=" Rekap Pabrik"/>
      <sheetName val="Pabrik (Tower)"/>
      <sheetName val="Pabrik (Front)"/>
      <sheetName val="toi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C13" t="str">
            <v>PEKERJAAN ARSITEKTUR</v>
          </cell>
        </row>
        <row r="14">
          <cell r="B14" t="str">
            <v>A.</v>
          </cell>
          <cell r="C14" t="str">
            <v>PEKERJAAN PERSIAPAN</v>
          </cell>
        </row>
        <row r="32">
          <cell r="B32" t="str">
            <v>B.</v>
          </cell>
          <cell r="C32" t="str">
            <v>PEK. SIPIL ARSITEKTUR</v>
          </cell>
        </row>
        <row r="78">
          <cell r="C78" t="str">
            <v>PONDASI DAN STRUKTUR</v>
          </cell>
        </row>
        <row r="79">
          <cell r="B79" t="str">
            <v>A.</v>
          </cell>
          <cell r="C79" t="str">
            <v>PEKERJAAN TANAH</v>
          </cell>
        </row>
        <row r="86">
          <cell r="B86" t="str">
            <v>B.</v>
          </cell>
          <cell r="C86" t="str">
            <v>PEKERJAAN PONDASI</v>
          </cell>
        </row>
        <row r="123">
          <cell r="B123" t="str">
            <v>C.</v>
          </cell>
          <cell r="C123" t="str">
            <v>PEKERJAAN LOWER STRUKTUR</v>
          </cell>
        </row>
        <row r="143">
          <cell r="B143" t="str">
            <v>D.</v>
          </cell>
          <cell r="C143" t="str">
            <v>PEKERJAAN UPPER STRUKTUR</v>
          </cell>
        </row>
        <row r="201">
          <cell r="B201" t="str">
            <v>E.</v>
          </cell>
          <cell r="C201" t="str">
            <v>PEKERJAAN ATAP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 ELEKTRIKAL"/>
      <sheetName val="RAB PLUMBING HYDRANT DAN TATA S"/>
      <sheetName val="RAB MEP"/>
      <sheetName val="HARSAT"/>
      <sheetName val="MATERIAL"/>
      <sheetName val="Analisa Elektrikal"/>
      <sheetName val="ANL.PLUMBING"/>
      <sheetName val="HB.PLM"/>
      <sheetName val="VAC"/>
      <sheetName val="ANL.MKL (2)"/>
      <sheetName val="BH.MKNKL (2)"/>
      <sheetName val="UPAH"/>
      <sheetName val="Sheet1"/>
    </sheetNames>
    <sheetDataSet>
      <sheetData sheetId="0" refreshError="1">
        <row r="10">
          <cell r="C10" t="str">
            <v>ELEKTRIKAL</v>
          </cell>
        </row>
        <row r="12">
          <cell r="B12" t="str">
            <v>A</v>
          </cell>
          <cell r="C12" t="str">
            <v xml:space="preserve">PEMASANGAN PANEL </v>
          </cell>
        </row>
        <row r="14">
          <cell r="B14" t="str">
            <v>B</v>
          </cell>
          <cell r="C14" t="str">
            <v>PEMASANGAN KABEL FEEDER</v>
          </cell>
        </row>
        <row r="16">
          <cell r="B16" t="str">
            <v>C</v>
          </cell>
          <cell r="C16" t="str">
            <v>PEMASANGAN KABEL TRAY ARUS KUAT &amp; ARUS LEMAH</v>
          </cell>
        </row>
        <row r="18">
          <cell r="B18" t="str">
            <v>D</v>
          </cell>
          <cell r="C18" t="str">
            <v>PEMASANGAN INSTALASI PENERANGAN &amp; STOPKONTAK LANTAI 1 Berikut Armatur</v>
          </cell>
        </row>
        <row r="20">
          <cell r="B20" t="str">
            <v>E</v>
          </cell>
          <cell r="C20" t="str">
            <v>INSTALASI TOILET</v>
          </cell>
        </row>
        <row r="22">
          <cell r="B22" t="str">
            <v>F</v>
          </cell>
          <cell r="C22" t="str">
            <v xml:space="preserve">PEMASANGAN INSTALASI CCTV LANTAI DASAR </v>
          </cell>
        </row>
        <row r="24">
          <cell r="B24" t="str">
            <v>G</v>
          </cell>
          <cell r="C24" t="str">
            <v>PEMASANGAN INSTALASI CCTV LANTAI LANTAI 1</v>
          </cell>
        </row>
        <row r="26">
          <cell r="B26" t="str">
            <v>H</v>
          </cell>
          <cell r="C26" t="str">
            <v>PEMASANGAN INSTALASI FIRE ALARM LANTAI 1 , TAMAN PARKING &amp; LANTAI 2</v>
          </cell>
        </row>
        <row r="28">
          <cell r="B28" t="str">
            <v>I</v>
          </cell>
          <cell r="C28" t="str">
            <v>PEMASANGAN INSTALASI TATA SUARA  LANTAI 1 &amp; LANTAI 2</v>
          </cell>
        </row>
        <row r="30">
          <cell r="B30" t="str">
            <v>J</v>
          </cell>
          <cell r="C30" t="str">
            <v>PEMASANGAN INSTALASI Kabel Utp Data LANTAI 1 &amp; LANTAI 2</v>
          </cell>
        </row>
        <row r="32">
          <cell r="B32" t="str">
            <v>K</v>
          </cell>
          <cell r="C32" t="str">
            <v>TEST COMUISONING</v>
          </cell>
        </row>
        <row r="34">
          <cell r="C34" t="str">
            <v>PLUMBING, SPRINKLER / HYDRANT DAN TATA UDARA</v>
          </cell>
        </row>
        <row r="36">
          <cell r="B36" t="str">
            <v xml:space="preserve">A. </v>
          </cell>
          <cell r="C36" t="str">
            <v>PEKERJAAN PLUMBING</v>
          </cell>
        </row>
        <row r="38">
          <cell r="B38" t="str">
            <v>B.</v>
          </cell>
          <cell r="C38" t="str">
            <v>SPRINKLER DAN HYDRANT</v>
          </cell>
        </row>
        <row r="40">
          <cell r="B40" t="str">
            <v>C.</v>
          </cell>
          <cell r="C40" t="str">
            <v>PEKERJAAN TATA UDARA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a beton"/>
      <sheetName val="REKAP"/>
      <sheetName val="RAB MEP"/>
      <sheetName val="ANL.PLUMBING"/>
      <sheetName val="HB.PLM"/>
      <sheetName val="VAC"/>
      <sheetName val="ANL.MKL (2)"/>
      <sheetName val="BH.MKNKL (2)"/>
      <sheetName val="ANL.MKL"/>
      <sheetName val="BH.MKNKL"/>
      <sheetName val="Daftar Isi"/>
      <sheetName val="1-RekHSP"/>
      <sheetName val="3-SewaAlat"/>
      <sheetName val="CAT"/>
    </sheetNames>
    <sheetDataSet>
      <sheetData sheetId="0"/>
      <sheetData sheetId="1"/>
      <sheetData sheetId="2"/>
      <sheetData sheetId="3"/>
      <sheetData sheetId="4">
        <row r="20">
          <cell r="G20">
            <v>30513.8125</v>
          </cell>
        </row>
      </sheetData>
      <sheetData sheetId="5">
        <row r="54">
          <cell r="E54">
            <v>100000</v>
          </cell>
        </row>
      </sheetData>
      <sheetData sheetId="6">
        <row r="19">
          <cell r="L19">
            <v>28435000</v>
          </cell>
        </row>
      </sheetData>
      <sheetData sheetId="7">
        <row r="18">
          <cell r="J18">
            <v>82164.5</v>
          </cell>
        </row>
        <row r="208">
          <cell r="J208">
            <v>392885350</v>
          </cell>
        </row>
        <row r="223">
          <cell r="J223">
            <v>63174717.693999998</v>
          </cell>
        </row>
        <row r="239">
          <cell r="J239">
            <v>258843200</v>
          </cell>
        </row>
        <row r="254">
          <cell r="J254">
            <v>2783880</v>
          </cell>
        </row>
        <row r="269">
          <cell r="J269">
            <v>5000380</v>
          </cell>
        </row>
        <row r="299">
          <cell r="J299">
            <v>1881880</v>
          </cell>
        </row>
        <row r="314">
          <cell r="J314">
            <v>19271340</v>
          </cell>
        </row>
        <row r="329">
          <cell r="J329">
            <v>12341340</v>
          </cell>
        </row>
      </sheetData>
      <sheetData sheetId="8">
        <row r="37">
          <cell r="D37" t="str">
            <v xml:space="preserve">Gate valve 5K   2,5" (65 mm) </v>
          </cell>
        </row>
        <row r="50">
          <cell r="D50" t="str">
            <v xml:space="preserve">foot valve 10K   2" (50 mm) </v>
          </cell>
        </row>
        <row r="51">
          <cell r="D51" t="str">
            <v xml:space="preserve">foot valve 10K   4" (100 mm) </v>
          </cell>
        </row>
        <row r="52">
          <cell r="D52" t="str">
            <v>Safety Valve 21/2"</v>
          </cell>
          <cell r="G52">
            <v>10000000</v>
          </cell>
        </row>
        <row r="63">
          <cell r="D63" t="str">
            <v>Auto airfan</v>
          </cell>
        </row>
        <row r="64">
          <cell r="D64" t="str">
            <v>Alarm gong</v>
          </cell>
        </row>
        <row r="65">
          <cell r="D65" t="str">
            <v>fresure tank 200 ltr</v>
          </cell>
        </row>
      </sheetData>
      <sheetData sheetId="9"/>
      <sheetData sheetId="10">
        <row r="12">
          <cell r="G12">
            <v>90000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view="pageBreakPreview" topLeftCell="A16" zoomScale="60" zoomScaleNormal="70" workbookViewId="0">
      <selection activeCell="F20" sqref="F20"/>
    </sheetView>
  </sheetViews>
  <sheetFormatPr defaultRowHeight="14.5"/>
  <cols>
    <col min="2" max="2" width="8.7265625" customWidth="1"/>
    <col min="3" max="3" width="11.453125" customWidth="1"/>
    <col min="4" max="5" width="15.7265625" customWidth="1"/>
    <col min="6" max="6" width="24.453125" customWidth="1"/>
    <col min="7" max="7" width="23" customWidth="1"/>
    <col min="8" max="8" width="23.1796875" customWidth="1"/>
  </cols>
  <sheetData>
    <row r="1" spans="2:8" ht="29.25" customHeight="1">
      <c r="B1" s="738" t="s">
        <v>593</v>
      </c>
      <c r="C1" s="738"/>
      <c r="D1" s="738"/>
      <c r="E1" s="738"/>
      <c r="F1" s="738"/>
      <c r="G1" s="738"/>
      <c r="H1" s="738"/>
    </row>
    <row r="2" spans="2:8" ht="15.5">
      <c r="B2" s="739" t="s">
        <v>594</v>
      </c>
      <c r="C2" s="739"/>
      <c r="D2" s="739"/>
      <c r="E2" s="739"/>
      <c r="F2" s="739"/>
      <c r="G2" s="739"/>
      <c r="H2" s="739"/>
    </row>
    <row r="3" spans="2:8" ht="15.5">
      <c r="B3" s="649"/>
      <c r="C3" s="649"/>
      <c r="D3" s="649"/>
      <c r="E3" s="649"/>
      <c r="F3" s="649"/>
      <c r="G3" s="649"/>
      <c r="H3" s="650"/>
    </row>
    <row r="4" spans="2:8">
      <c r="B4" s="698" t="s">
        <v>458</v>
      </c>
      <c r="C4" s="651"/>
      <c r="D4" s="740" t="s">
        <v>441</v>
      </c>
      <c r="E4" s="740"/>
      <c r="F4" s="740"/>
      <c r="G4" s="740"/>
      <c r="H4" s="650"/>
    </row>
    <row r="5" spans="2:8">
      <c r="B5" s="698" t="s">
        <v>459</v>
      </c>
      <c r="C5" s="651"/>
      <c r="D5" s="740" t="s">
        <v>595</v>
      </c>
      <c r="E5" s="740"/>
      <c r="F5" s="740"/>
      <c r="G5" s="740"/>
      <c r="H5" s="650"/>
    </row>
    <row r="6" spans="2:8">
      <c r="B6" s="698" t="s">
        <v>596</v>
      </c>
      <c r="C6" s="651"/>
      <c r="D6" s="740" t="s">
        <v>608</v>
      </c>
      <c r="E6" s="740"/>
      <c r="F6" s="740"/>
      <c r="G6" s="740"/>
      <c r="H6" s="650"/>
    </row>
    <row r="7" spans="2:8">
      <c r="B7" s="652"/>
      <c r="C7" s="652"/>
      <c r="D7" s="653"/>
      <c r="E7" s="653"/>
      <c r="F7" s="653"/>
      <c r="G7" s="653"/>
      <c r="H7" s="650"/>
    </row>
    <row r="8" spans="2:8">
      <c r="B8" s="654"/>
      <c r="C8" s="729" t="s">
        <v>102</v>
      </c>
      <c r="D8" s="730"/>
      <c r="E8" s="730"/>
      <c r="F8" s="731"/>
      <c r="G8" s="655"/>
      <c r="H8" s="655" t="s">
        <v>3</v>
      </c>
    </row>
    <row r="9" spans="2:8">
      <c r="B9" s="656" t="s">
        <v>0</v>
      </c>
      <c r="C9" s="732"/>
      <c r="D9" s="733"/>
      <c r="E9" s="733"/>
      <c r="F9" s="734"/>
      <c r="G9" s="657" t="s">
        <v>597</v>
      </c>
      <c r="H9" s="657" t="s">
        <v>37</v>
      </c>
    </row>
    <row r="10" spans="2:8" ht="15" thickBot="1">
      <c r="B10" s="658"/>
      <c r="C10" s="735"/>
      <c r="D10" s="736"/>
      <c r="E10" s="736"/>
      <c r="F10" s="737"/>
      <c r="G10" s="659"/>
      <c r="H10" s="659" t="s">
        <v>598</v>
      </c>
    </row>
    <row r="11" spans="2:8" ht="15" thickTop="1">
      <c r="B11" s="660"/>
      <c r="C11" s="661"/>
      <c r="D11" s="661"/>
      <c r="E11" s="661"/>
      <c r="F11" s="661"/>
      <c r="G11" s="662"/>
      <c r="H11" s="663"/>
    </row>
    <row r="12" spans="2:8" ht="18.75" customHeight="1">
      <c r="B12" s="664" t="s">
        <v>31</v>
      </c>
      <c r="C12" s="665" t="str">
        <f>'[1]RAB '!C13</f>
        <v>PEKERJAAN ARSITEKTUR</v>
      </c>
      <c r="D12" s="661"/>
      <c r="E12" s="661"/>
      <c r="F12" s="661"/>
      <c r="G12" s="666"/>
      <c r="H12" s="667">
        <f>SUM(G13:G14)</f>
        <v>0</v>
      </c>
    </row>
    <row r="13" spans="2:8" ht="18.75" customHeight="1">
      <c r="B13" s="668" t="str">
        <f>'[1]RAB '!B14</f>
        <v>A.</v>
      </c>
      <c r="C13" s="669" t="str">
        <f>'[1]RAB '!C14</f>
        <v>PEKERJAAN PERSIAPAN</v>
      </c>
      <c r="D13" s="661"/>
      <c r="E13" s="661"/>
      <c r="F13" s="661"/>
      <c r="G13" s="666">
        <f>'BQ ARSITEKTUR &amp; STRUKTUR'!H29</f>
        <v>0</v>
      </c>
      <c r="H13" s="670"/>
    </row>
    <row r="14" spans="2:8" ht="18.75" customHeight="1">
      <c r="B14" s="668" t="str">
        <f>'[1]RAB '!B32</f>
        <v>B.</v>
      </c>
      <c r="C14" s="669" t="str">
        <f>'[1]RAB '!C32</f>
        <v>PEK. SIPIL ARSITEKTUR</v>
      </c>
      <c r="D14" s="661"/>
      <c r="E14" s="661"/>
      <c r="F14" s="661"/>
      <c r="G14" s="666">
        <f>'BQ ARSITEKTUR &amp; STRUKTUR'!H73</f>
        <v>0</v>
      </c>
      <c r="H14" s="670"/>
    </row>
    <row r="15" spans="2:8" ht="18.75" customHeight="1">
      <c r="B15" s="664" t="s">
        <v>237</v>
      </c>
      <c r="C15" s="665" t="str">
        <f>'[1]RAB '!C78</f>
        <v>PONDASI DAN STRUKTUR</v>
      </c>
      <c r="D15" s="661"/>
      <c r="E15" s="661"/>
      <c r="F15" s="661"/>
      <c r="G15" s="666"/>
      <c r="H15" s="667">
        <f>SUM(G16:G32)</f>
        <v>0</v>
      </c>
    </row>
    <row r="16" spans="2:8" ht="18.75" customHeight="1">
      <c r="B16" s="668" t="str">
        <f>'[1]RAB '!B79</f>
        <v>A.</v>
      </c>
      <c r="C16" s="669" t="str">
        <f>'[1]RAB '!C79</f>
        <v>PEKERJAAN TANAH</v>
      </c>
      <c r="D16" s="661"/>
      <c r="E16" s="661"/>
      <c r="F16" s="661"/>
      <c r="G16" s="666">
        <f>'BQ ARSITEKTUR &amp; STRUKTUR'!H83</f>
        <v>0</v>
      </c>
      <c r="H16" s="667"/>
    </row>
    <row r="17" spans="2:8" ht="18.75" customHeight="1">
      <c r="B17" s="668" t="str">
        <f>'[1]RAB '!B86</f>
        <v>B.</v>
      </c>
      <c r="C17" s="669" t="str">
        <f>'[1]RAB '!C86</f>
        <v>PEKERJAAN PONDASI</v>
      </c>
      <c r="D17" s="661"/>
      <c r="E17" s="661"/>
      <c r="F17" s="661"/>
      <c r="G17" s="666">
        <f>'BQ ARSITEKTUR &amp; STRUKTUR'!H120</f>
        <v>0</v>
      </c>
      <c r="H17" s="667"/>
    </row>
    <row r="18" spans="2:8" ht="18.75" customHeight="1">
      <c r="B18" s="668" t="str">
        <f>'[1]RAB '!B123</f>
        <v>C.</v>
      </c>
      <c r="C18" s="669" t="str">
        <f>'[1]RAB '!C123</f>
        <v>PEKERJAAN LOWER STRUKTUR</v>
      </c>
      <c r="D18" s="661"/>
      <c r="E18" s="661"/>
      <c r="F18" s="661"/>
      <c r="G18" s="666">
        <f>'BQ ARSITEKTUR &amp; STRUKTUR'!H140</f>
        <v>0</v>
      </c>
      <c r="H18" s="670"/>
    </row>
    <row r="19" spans="2:8" ht="18.75" customHeight="1">
      <c r="B19" s="668" t="str">
        <f>'[1]RAB '!B143</f>
        <v>D.</v>
      </c>
      <c r="C19" s="669" t="str">
        <f>'[1]RAB '!C143</f>
        <v>PEKERJAAN UPPER STRUKTUR</v>
      </c>
      <c r="D19" s="661"/>
      <c r="E19" s="661"/>
      <c r="F19" s="661"/>
      <c r="G19" s="666">
        <f>'BQ ARSITEKTUR &amp; STRUKTUR'!H198</f>
        <v>0</v>
      </c>
      <c r="H19" s="670"/>
    </row>
    <row r="20" spans="2:8" ht="18.75" customHeight="1">
      <c r="B20" s="668" t="str">
        <f>'[1]RAB '!B201</f>
        <v>E.</v>
      </c>
      <c r="C20" s="669" t="str">
        <f>'[1]RAB '!C201</f>
        <v>PEKERJAAN ATAP</v>
      </c>
      <c r="D20" s="661"/>
      <c r="E20" s="661"/>
      <c r="F20" s="661"/>
      <c r="G20" s="666">
        <f>'BQ ARSITEKTUR &amp; STRUKTUR'!H204</f>
        <v>0</v>
      </c>
      <c r="H20" s="670"/>
    </row>
    <row r="21" spans="2:8" ht="18.75" customHeight="1">
      <c r="B21" s="664" t="s">
        <v>243</v>
      </c>
      <c r="C21" s="665" t="str">
        <f>[2]REKAP!C10</f>
        <v>ELEKTRIKAL</v>
      </c>
      <c r="D21" s="671"/>
      <c r="E21" s="672"/>
      <c r="F21" s="672"/>
      <c r="G21" s="666"/>
      <c r="H21" s="667">
        <f>SUM(G22:G32)</f>
        <v>0</v>
      </c>
    </row>
    <row r="22" spans="2:8" ht="18.75" customHeight="1">
      <c r="B22" s="668" t="str">
        <f>[2]REKAP!B12</f>
        <v>A</v>
      </c>
      <c r="C22" s="669" t="str">
        <f>[2]REKAP!C12</f>
        <v xml:space="preserve">PEMASANGAN PANEL </v>
      </c>
      <c r="D22" s="671"/>
      <c r="E22" s="672"/>
      <c r="F22" s="672"/>
      <c r="G22" s="666">
        <f>'BQ ELEKTRIKAL'!I52</f>
        <v>0</v>
      </c>
      <c r="H22" s="670"/>
    </row>
    <row r="23" spans="2:8" ht="18.75" customHeight="1">
      <c r="B23" s="668" t="str">
        <f>[2]REKAP!B14</f>
        <v>B</v>
      </c>
      <c r="C23" s="669" t="str">
        <f>[2]REKAP!C14</f>
        <v>PEMASANGAN KABEL FEEDER</v>
      </c>
      <c r="D23" s="671"/>
      <c r="E23" s="672"/>
      <c r="F23" s="672"/>
      <c r="G23" s="666">
        <f>'BQ ELEKTRIKAL'!I62</f>
        <v>0</v>
      </c>
      <c r="H23" s="670"/>
    </row>
    <row r="24" spans="2:8" ht="18.75" customHeight="1">
      <c r="B24" s="668" t="str">
        <f>[2]REKAP!B16</f>
        <v>C</v>
      </c>
      <c r="C24" s="669" t="str">
        <f>[2]REKAP!C16</f>
        <v>PEMASANGAN KABEL TRAY ARUS KUAT &amp; ARUS LEMAH</v>
      </c>
      <c r="D24" s="671"/>
      <c r="E24" s="672"/>
      <c r="F24" s="672"/>
      <c r="G24" s="666">
        <f>'BQ ELEKTRIKAL'!I68</f>
        <v>0</v>
      </c>
      <c r="H24" s="670"/>
    </row>
    <row r="25" spans="2:8" ht="18.75" customHeight="1">
      <c r="B25" s="668" t="str">
        <f>[2]REKAP!B18</f>
        <v>D</v>
      </c>
      <c r="C25" s="669" t="str">
        <f>[2]REKAP!C18</f>
        <v>PEMASANGAN INSTALASI PENERANGAN &amp; STOPKONTAK LANTAI 1 Berikut Armatur</v>
      </c>
      <c r="D25" s="671"/>
      <c r="E25" s="672"/>
      <c r="F25" s="672"/>
      <c r="G25" s="666">
        <f>'BQ ELEKTRIKAL'!I85</f>
        <v>0</v>
      </c>
      <c r="H25" s="670"/>
    </row>
    <row r="26" spans="2:8" ht="18.75" customHeight="1">
      <c r="B26" s="668" t="str">
        <f>[2]REKAP!B20</f>
        <v>E</v>
      </c>
      <c r="C26" s="669" t="str">
        <f>[2]REKAP!C20</f>
        <v>INSTALASI TOILET</v>
      </c>
      <c r="D26" s="671"/>
      <c r="E26" s="672"/>
      <c r="F26" s="672"/>
      <c r="G26" s="666">
        <f>'BQ ELEKTRIKAL'!I93</f>
        <v>0</v>
      </c>
      <c r="H26" s="670"/>
    </row>
    <row r="27" spans="2:8" ht="18.75" customHeight="1">
      <c r="B27" s="668" t="str">
        <f>[2]REKAP!B22</f>
        <v>F</v>
      </c>
      <c r="C27" s="669" t="str">
        <f>[2]REKAP!C22</f>
        <v xml:space="preserve">PEMASANGAN INSTALASI CCTV LANTAI DASAR </v>
      </c>
      <c r="D27" s="671"/>
      <c r="E27" s="672"/>
      <c r="F27" s="672"/>
      <c r="G27" s="666">
        <f>'BQ ELEKTRIKAL'!I101</f>
        <v>0</v>
      </c>
      <c r="H27" s="670"/>
    </row>
    <row r="28" spans="2:8" ht="18.75" customHeight="1">
      <c r="B28" s="668" t="str">
        <f>[2]REKAP!B24</f>
        <v>G</v>
      </c>
      <c r="C28" s="669" t="str">
        <f>[2]REKAP!C24</f>
        <v>PEMASANGAN INSTALASI CCTV LANTAI LANTAI 1</v>
      </c>
      <c r="D28" s="671"/>
      <c r="E28" s="672"/>
      <c r="F28" s="672"/>
      <c r="G28" s="666">
        <f>'BQ ELEKTRIKAL'!I113</f>
        <v>0</v>
      </c>
      <c r="H28" s="670"/>
    </row>
    <row r="29" spans="2:8" ht="18.75" customHeight="1">
      <c r="B29" s="668" t="str">
        <f>[2]REKAP!B26</f>
        <v>H</v>
      </c>
      <c r="C29" s="669" t="str">
        <f>[2]REKAP!C26</f>
        <v>PEMASANGAN INSTALASI FIRE ALARM LANTAI 1 , TAMAN PARKING &amp; LANTAI 2</v>
      </c>
      <c r="D29" s="671"/>
      <c r="E29" s="672"/>
      <c r="F29" s="672"/>
      <c r="G29" s="666">
        <f>'BQ ELEKTRIKAL'!I126</f>
        <v>0</v>
      </c>
      <c r="H29" s="670"/>
    </row>
    <row r="30" spans="2:8" ht="18.75" customHeight="1">
      <c r="B30" s="668" t="str">
        <f>[2]REKAP!B28</f>
        <v>I</v>
      </c>
      <c r="C30" s="669" t="str">
        <f>[2]REKAP!C28</f>
        <v>PEMASANGAN INSTALASI TATA SUARA  LANTAI 1 &amp; LANTAI 2</v>
      </c>
      <c r="D30" s="671"/>
      <c r="E30" s="672"/>
      <c r="F30" s="672"/>
      <c r="G30" s="666">
        <f>'BQ ELEKTRIKAL'!I131</f>
        <v>0</v>
      </c>
      <c r="H30" s="670"/>
    </row>
    <row r="31" spans="2:8" ht="18.75" customHeight="1">
      <c r="B31" s="668" t="str">
        <f>[2]REKAP!B30</f>
        <v>J</v>
      </c>
      <c r="C31" s="669" t="str">
        <f>[2]REKAP!C30</f>
        <v>PEMASANGAN INSTALASI Kabel Utp Data LANTAI 1 &amp; LANTAI 2</v>
      </c>
      <c r="D31" s="671"/>
      <c r="E31" s="672"/>
      <c r="F31" s="672"/>
      <c r="G31" s="666">
        <f>'BQ ELEKTRIKAL'!I147</f>
        <v>0</v>
      </c>
      <c r="H31" s="670"/>
    </row>
    <row r="32" spans="2:8" ht="18.75" customHeight="1">
      <c r="B32" s="668" t="str">
        <f>[2]REKAP!B32</f>
        <v>K</v>
      </c>
      <c r="C32" s="669" t="str">
        <f>[2]REKAP!C32</f>
        <v>TEST COMUISONING</v>
      </c>
      <c r="D32" s="671"/>
      <c r="E32" s="672"/>
      <c r="F32" s="672"/>
      <c r="G32" s="666">
        <f>'BQ ELEKTRIKAL'!I149</f>
        <v>0</v>
      </c>
      <c r="H32" s="670"/>
    </row>
    <row r="33" spans="2:8" ht="18.75" customHeight="1">
      <c r="B33" s="664" t="s">
        <v>442</v>
      </c>
      <c r="C33" s="665" t="str">
        <f>[2]REKAP!C34</f>
        <v>PLUMBING, SPRINKLER / HYDRANT DAN TATA UDARA</v>
      </c>
      <c r="D33" s="671"/>
      <c r="E33" s="672"/>
      <c r="F33" s="672"/>
      <c r="G33" s="666"/>
      <c r="H33" s="667">
        <f>SUM(G34:G36)</f>
        <v>0</v>
      </c>
    </row>
    <row r="34" spans="2:8" ht="18.75" customHeight="1">
      <c r="B34" s="668" t="str">
        <f>[2]REKAP!B36</f>
        <v xml:space="preserve">A. </v>
      </c>
      <c r="C34" s="669" t="str">
        <f>[2]REKAP!C36</f>
        <v>PEKERJAAN PLUMBING</v>
      </c>
      <c r="D34" s="671"/>
      <c r="E34" s="672"/>
      <c r="F34" s="672"/>
      <c r="G34" s="666">
        <f>'BQ PLUMBING HYDRANT DAN TATA S'!J39</f>
        <v>0</v>
      </c>
      <c r="H34" s="670"/>
    </row>
    <row r="35" spans="2:8" ht="18.75" customHeight="1">
      <c r="B35" s="668" t="str">
        <f>[2]REKAP!B38</f>
        <v>B.</v>
      </c>
      <c r="C35" s="669" t="str">
        <f>[2]REKAP!C38</f>
        <v>SPRINKLER DAN HYDRANT</v>
      </c>
      <c r="D35" s="671"/>
      <c r="E35" s="672"/>
      <c r="F35" s="672"/>
      <c r="G35" s="666">
        <f>'BQ PLUMBING HYDRANT DAN TATA S'!J84</f>
        <v>0</v>
      </c>
      <c r="H35" s="670"/>
    </row>
    <row r="36" spans="2:8" ht="18.75" customHeight="1">
      <c r="B36" s="668" t="str">
        <f>[2]REKAP!B40</f>
        <v>C.</v>
      </c>
      <c r="C36" s="669" t="str">
        <f>[2]REKAP!C40</f>
        <v>PEKERJAAN TATA UDARA</v>
      </c>
      <c r="D36" s="671"/>
      <c r="E36" s="672"/>
      <c r="F36" s="672"/>
      <c r="G36" s="666">
        <f>'BQ PLUMBING HYDRANT DAN TATA S'!J146</f>
        <v>0</v>
      </c>
      <c r="H36" s="670"/>
    </row>
    <row r="37" spans="2:8">
      <c r="B37" s="660"/>
      <c r="C37" s="669"/>
      <c r="D37" s="671"/>
      <c r="E37" s="672"/>
      <c r="F37" s="672"/>
      <c r="G37" s="666"/>
      <c r="H37" s="670"/>
    </row>
    <row r="38" spans="2:8">
      <c r="B38" s="673"/>
      <c r="C38" s="674"/>
      <c r="D38" s="675"/>
      <c r="E38" s="745"/>
      <c r="F38" s="745"/>
      <c r="G38" s="676" t="s">
        <v>606</v>
      </c>
      <c r="H38" s="677">
        <f>H12+H15+H21+H33</f>
        <v>0</v>
      </c>
    </row>
    <row r="39" spans="2:8">
      <c r="B39" s="678"/>
      <c r="C39" s="661"/>
      <c r="D39" s="679"/>
      <c r="E39" s="746"/>
      <c r="F39" s="746"/>
      <c r="G39" s="680" t="s">
        <v>599</v>
      </c>
      <c r="H39" s="681">
        <f>H38*0.11</f>
        <v>0</v>
      </c>
    </row>
    <row r="40" spans="2:8">
      <c r="B40" s="678"/>
      <c r="C40" s="661"/>
      <c r="D40" s="679"/>
      <c r="E40" s="746"/>
      <c r="F40" s="746"/>
      <c r="G40" s="680" t="s">
        <v>417</v>
      </c>
      <c r="H40" s="681">
        <f>SUM(H38:H39)</f>
        <v>0</v>
      </c>
    </row>
    <row r="41" spans="2:8">
      <c r="B41" s="682"/>
      <c r="C41" s="683"/>
      <c r="D41" s="684"/>
      <c r="E41" s="747"/>
      <c r="F41" s="747"/>
      <c r="G41" s="685" t="s">
        <v>437</v>
      </c>
      <c r="H41" s="686">
        <f>ROUNDDOWN(H40,-3)</f>
        <v>0</v>
      </c>
    </row>
    <row r="42" spans="2:8">
      <c r="B42" s="748" t="s">
        <v>600</v>
      </c>
      <c r="C42" s="749"/>
      <c r="D42" s="750"/>
      <c r="E42" s="751"/>
      <c r="F42" s="751"/>
      <c r="G42" s="751"/>
      <c r="H42" s="687"/>
    </row>
    <row r="43" spans="2:8">
      <c r="B43" s="688"/>
      <c r="C43" s="741"/>
      <c r="D43" s="741"/>
      <c r="E43" s="741"/>
      <c r="F43" s="741"/>
      <c r="G43" s="741"/>
      <c r="H43" s="742"/>
    </row>
    <row r="44" spans="2:8">
      <c r="B44" s="689"/>
      <c r="C44" s="743"/>
      <c r="D44" s="743"/>
      <c r="E44" s="743"/>
      <c r="F44" s="743"/>
      <c r="G44" s="743"/>
      <c r="H44" s="744"/>
    </row>
    <row r="45" spans="2:8">
      <c r="B45" s="690"/>
      <c r="C45" s="690"/>
      <c r="D45" s="690"/>
      <c r="E45" s="690"/>
      <c r="F45" s="690"/>
      <c r="G45" s="690"/>
      <c r="H45" s="650"/>
    </row>
    <row r="46" spans="2:8">
      <c r="B46" s="691"/>
      <c r="C46" s="691"/>
      <c r="D46" s="691"/>
      <c r="E46" s="691"/>
      <c r="F46" s="691"/>
      <c r="G46" s="691"/>
      <c r="H46" s="650"/>
    </row>
    <row r="47" spans="2:8">
      <c r="B47" s="691"/>
      <c r="C47" s="691"/>
      <c r="D47" s="691"/>
      <c r="E47" s="691"/>
      <c r="F47" s="691"/>
      <c r="G47" s="4"/>
      <c r="H47" s="692"/>
    </row>
    <row r="48" spans="2:8">
      <c r="B48" s="691"/>
      <c r="C48" s="691"/>
      <c r="D48" s="691"/>
      <c r="E48" s="691"/>
      <c r="F48" s="691"/>
      <c r="G48" s="4"/>
      <c r="H48" s="693"/>
    </row>
    <row r="49" spans="2:8">
      <c r="B49" s="691"/>
      <c r="C49" s="691"/>
      <c r="D49" s="691"/>
      <c r="E49" s="691"/>
      <c r="F49" s="691"/>
      <c r="G49" s="4"/>
      <c r="H49" s="4"/>
    </row>
    <row r="50" spans="2:8">
      <c r="B50" s="691"/>
      <c r="C50" s="691"/>
      <c r="D50" s="691"/>
      <c r="E50" s="691"/>
      <c r="F50" s="691"/>
      <c r="G50" s="4"/>
      <c r="H50" s="4"/>
    </row>
    <row r="51" spans="2:8">
      <c r="B51" s="694"/>
      <c r="C51" s="691"/>
      <c r="D51" s="691"/>
      <c r="E51" s="691"/>
      <c r="F51" s="691"/>
      <c r="G51" s="694"/>
      <c r="H51" s="694"/>
    </row>
    <row r="52" spans="2:8">
      <c r="B52" s="671"/>
      <c r="C52" s="691"/>
      <c r="D52" s="691"/>
      <c r="E52" s="691"/>
      <c r="F52" s="691"/>
      <c r="G52" s="671"/>
      <c r="H52" s="671"/>
    </row>
    <row r="53" spans="2:8">
      <c r="B53" s="671"/>
      <c r="C53" s="691"/>
      <c r="D53" s="691"/>
      <c r="E53" s="691"/>
      <c r="F53" s="691"/>
      <c r="G53" s="671"/>
      <c r="H53" s="671"/>
    </row>
    <row r="54" spans="2:8">
      <c r="B54" s="695"/>
      <c r="C54" s="691"/>
      <c r="D54" s="691"/>
      <c r="E54" s="691"/>
      <c r="F54" s="691"/>
      <c r="G54" s="696"/>
      <c r="H54" s="697"/>
    </row>
  </sheetData>
  <mergeCells count="13">
    <mergeCell ref="C43:H44"/>
    <mergeCell ref="E38:F38"/>
    <mergeCell ref="E39:F39"/>
    <mergeCell ref="E40:F40"/>
    <mergeCell ref="E41:F41"/>
    <mergeCell ref="B42:C42"/>
    <mergeCell ref="D42:G42"/>
    <mergeCell ref="C8:F10"/>
    <mergeCell ref="B1:H1"/>
    <mergeCell ref="B2:H2"/>
    <mergeCell ref="D4:G4"/>
    <mergeCell ref="D5:G5"/>
    <mergeCell ref="D6:G6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7"/>
  <sheetViews>
    <sheetView showGridLines="0" tabSelected="1" view="pageBreakPreview" topLeftCell="A166" zoomScale="85" zoomScaleNormal="100" zoomScaleSheetLayoutView="85" workbookViewId="0">
      <selection activeCell="D25" sqref="D25"/>
    </sheetView>
  </sheetViews>
  <sheetFormatPr defaultRowHeight="14.5"/>
  <cols>
    <col min="2" max="2" width="5.26953125" customWidth="1"/>
    <col min="3" max="3" width="11.453125" customWidth="1"/>
    <col min="4" max="4" width="45.26953125" customWidth="1"/>
    <col min="5" max="5" width="6.81640625" customWidth="1"/>
    <col min="6" max="6" width="11.26953125" customWidth="1"/>
    <col min="7" max="7" width="17.1796875" customWidth="1"/>
    <col min="8" max="8" width="19.1796875" customWidth="1"/>
  </cols>
  <sheetData>
    <row r="1" spans="2:8" ht="16.5">
      <c r="B1" s="754" t="s">
        <v>604</v>
      </c>
      <c r="C1" s="754"/>
      <c r="D1" s="754"/>
      <c r="E1" s="754"/>
      <c r="F1" s="754"/>
      <c r="G1" s="754"/>
      <c r="H1" s="754"/>
    </row>
    <row r="2" spans="2:8" ht="15.5">
      <c r="B2" s="755" t="s">
        <v>605</v>
      </c>
      <c r="C2" s="756"/>
      <c r="D2" s="756"/>
      <c r="E2" s="756"/>
      <c r="F2" s="756"/>
      <c r="G2" s="756"/>
      <c r="H2" s="756"/>
    </row>
    <row r="3" spans="2:8" ht="15.5">
      <c r="B3" s="497"/>
      <c r="C3" s="497"/>
      <c r="D3" s="497"/>
      <c r="E3" s="497"/>
      <c r="F3" s="497"/>
      <c r="G3" s="497"/>
      <c r="H3" s="497"/>
    </row>
    <row r="4" spans="2:8">
      <c r="B4" s="498" t="s">
        <v>458</v>
      </c>
      <c r="C4" s="499"/>
      <c r="D4" s="500" t="s">
        <v>441</v>
      </c>
      <c r="E4" s="501"/>
      <c r="F4" s="502"/>
      <c r="G4" s="503"/>
      <c r="H4" s="504"/>
    </row>
    <row r="5" spans="2:8">
      <c r="B5" s="498" t="s">
        <v>459</v>
      </c>
      <c r="C5" s="499"/>
      <c r="D5" s="500" t="s">
        <v>460</v>
      </c>
      <c r="E5" s="501"/>
      <c r="F5" s="502"/>
      <c r="G5" s="503"/>
      <c r="H5" s="504"/>
    </row>
    <row r="6" spans="2:8">
      <c r="B6" s="498" t="s">
        <v>461</v>
      </c>
      <c r="C6" s="499"/>
      <c r="D6" s="500" t="s">
        <v>608</v>
      </c>
      <c r="E6" s="501"/>
      <c r="F6" s="502"/>
      <c r="G6" s="503"/>
      <c r="H6" s="504"/>
    </row>
    <row r="7" spans="2:8">
      <c r="B7" s="505"/>
      <c r="C7" s="499"/>
      <c r="D7" s="501"/>
      <c r="E7" s="501"/>
      <c r="F7" s="502"/>
      <c r="G7" s="503"/>
      <c r="H7" s="504"/>
    </row>
    <row r="8" spans="2:8">
      <c r="B8" s="757" t="s">
        <v>215</v>
      </c>
      <c r="C8" s="760" t="s">
        <v>102</v>
      </c>
      <c r="D8" s="761"/>
      <c r="E8" s="757" t="s">
        <v>420</v>
      </c>
      <c r="F8" s="766" t="s">
        <v>419</v>
      </c>
      <c r="G8" s="506" t="s">
        <v>409</v>
      </c>
      <c r="H8" s="507" t="s">
        <v>3</v>
      </c>
    </row>
    <row r="9" spans="2:8">
      <c r="B9" s="758"/>
      <c r="C9" s="762"/>
      <c r="D9" s="763"/>
      <c r="E9" s="758"/>
      <c r="F9" s="767"/>
      <c r="G9" s="508" t="s">
        <v>36</v>
      </c>
      <c r="H9" s="509" t="s">
        <v>37</v>
      </c>
    </row>
    <row r="10" spans="2:8">
      <c r="B10" s="759"/>
      <c r="C10" s="764"/>
      <c r="D10" s="765"/>
      <c r="E10" s="759"/>
      <c r="F10" s="768"/>
      <c r="G10" s="510" t="s">
        <v>462</v>
      </c>
      <c r="H10" s="509" t="s">
        <v>462</v>
      </c>
    </row>
    <row r="11" spans="2:8" ht="15" thickBot="1">
      <c r="B11" s="511">
        <v>1</v>
      </c>
      <c r="C11" s="512"/>
      <c r="D11" s="513">
        <v>2</v>
      </c>
      <c r="E11" s="511">
        <v>3</v>
      </c>
      <c r="F11" s="514">
        <v>4</v>
      </c>
      <c r="G11" s="515">
        <v>5</v>
      </c>
      <c r="H11" s="516" t="s">
        <v>463</v>
      </c>
    </row>
    <row r="12" spans="2:8" ht="21" customHeight="1" thickTop="1">
      <c r="B12" s="517" t="s">
        <v>423</v>
      </c>
      <c r="C12" s="518" t="s">
        <v>464</v>
      </c>
      <c r="D12" s="519"/>
      <c r="E12" s="520"/>
      <c r="F12" s="521"/>
      <c r="G12" s="522"/>
      <c r="H12" s="523"/>
    </row>
    <row r="13" spans="2:8">
      <c r="B13" s="524" t="s">
        <v>465</v>
      </c>
      <c r="C13" s="525" t="s">
        <v>466</v>
      </c>
      <c r="D13" s="526"/>
      <c r="E13" s="527"/>
      <c r="F13" s="528"/>
      <c r="G13" s="529"/>
      <c r="H13" s="530"/>
    </row>
    <row r="14" spans="2:8">
      <c r="B14" s="531">
        <v>1</v>
      </c>
      <c r="C14" s="532" t="s">
        <v>467</v>
      </c>
      <c r="D14" s="533"/>
      <c r="E14" s="534" t="s">
        <v>164</v>
      </c>
      <c r="F14" s="535">
        <v>1</v>
      </c>
      <c r="G14" s="536"/>
      <c r="H14" s="537"/>
    </row>
    <row r="15" spans="2:8">
      <c r="B15" s="531">
        <v>2</v>
      </c>
      <c r="C15" s="538" t="s">
        <v>468</v>
      </c>
      <c r="D15" s="539"/>
      <c r="E15" s="540" t="s">
        <v>174</v>
      </c>
      <c r="F15" s="535">
        <v>190</v>
      </c>
      <c r="G15" s="536"/>
      <c r="H15" s="537"/>
    </row>
    <row r="16" spans="2:8">
      <c r="B16" s="531">
        <v>3</v>
      </c>
      <c r="C16" s="538" t="s">
        <v>469</v>
      </c>
      <c r="D16" s="539"/>
      <c r="E16" s="540" t="s">
        <v>164</v>
      </c>
      <c r="F16" s="535">
        <v>1</v>
      </c>
      <c r="G16" s="536"/>
      <c r="H16" s="537"/>
    </row>
    <row r="17" spans="2:8">
      <c r="B17" s="531"/>
      <c r="C17" s="541" t="s">
        <v>470</v>
      </c>
      <c r="D17" s="539"/>
      <c r="E17" s="542"/>
      <c r="F17" s="535"/>
      <c r="G17" s="536"/>
      <c r="H17" s="537"/>
    </row>
    <row r="18" spans="2:8">
      <c r="B18" s="531">
        <v>4</v>
      </c>
      <c r="C18" s="543" t="s">
        <v>471</v>
      </c>
      <c r="D18" s="539"/>
      <c r="E18" s="544" t="s">
        <v>472</v>
      </c>
      <c r="F18" s="535">
        <v>585</v>
      </c>
      <c r="G18" s="536"/>
      <c r="H18" s="537"/>
    </row>
    <row r="19" spans="2:8">
      <c r="B19" s="531"/>
      <c r="C19" s="543" t="s">
        <v>473</v>
      </c>
      <c r="D19" s="539"/>
      <c r="E19" s="540"/>
      <c r="F19" s="535"/>
      <c r="G19" s="536"/>
      <c r="H19" s="537"/>
    </row>
    <row r="20" spans="2:8">
      <c r="B20" s="531">
        <v>5</v>
      </c>
      <c r="C20" s="543" t="s">
        <v>474</v>
      </c>
      <c r="D20" s="539"/>
      <c r="E20" s="540" t="s">
        <v>164</v>
      </c>
      <c r="F20" s="535">
        <v>1</v>
      </c>
      <c r="G20" s="536"/>
      <c r="H20" s="537"/>
    </row>
    <row r="21" spans="2:8">
      <c r="B21" s="531">
        <v>6</v>
      </c>
      <c r="C21" s="543" t="s">
        <v>475</v>
      </c>
      <c r="D21" s="539"/>
      <c r="E21" s="544" t="s">
        <v>472</v>
      </c>
      <c r="F21" s="535">
        <v>9</v>
      </c>
      <c r="G21" s="536"/>
      <c r="H21" s="537"/>
    </row>
    <row r="22" spans="2:8">
      <c r="B22" s="531">
        <v>7</v>
      </c>
      <c r="C22" s="543" t="s">
        <v>476</v>
      </c>
      <c r="D22" s="539"/>
      <c r="E22" s="544" t="s">
        <v>472</v>
      </c>
      <c r="F22" s="535">
        <v>27</v>
      </c>
      <c r="G22" s="536"/>
      <c r="H22" s="537"/>
    </row>
    <row r="23" spans="2:8">
      <c r="B23" s="531">
        <v>8</v>
      </c>
      <c r="C23" s="543" t="s">
        <v>477</v>
      </c>
      <c r="D23" s="539"/>
      <c r="E23" s="540" t="s">
        <v>164</v>
      </c>
      <c r="F23" s="535">
        <v>1</v>
      </c>
      <c r="G23" s="536"/>
      <c r="H23" s="537"/>
    </row>
    <row r="24" spans="2:8">
      <c r="B24" s="531">
        <v>9</v>
      </c>
      <c r="C24" s="543" t="s">
        <v>478</v>
      </c>
      <c r="D24" s="539"/>
      <c r="E24" s="540" t="s">
        <v>174</v>
      </c>
      <c r="F24" s="535">
        <v>198</v>
      </c>
      <c r="G24" s="536"/>
      <c r="H24" s="537"/>
    </row>
    <row r="25" spans="2:8">
      <c r="B25" s="545">
        <v>10</v>
      </c>
      <c r="C25" s="546" t="s">
        <v>479</v>
      </c>
      <c r="D25" s="539"/>
      <c r="E25" s="547" t="s">
        <v>164</v>
      </c>
      <c r="F25" s="535">
        <v>1</v>
      </c>
      <c r="G25" s="548"/>
      <c r="H25" s="537"/>
    </row>
    <row r="26" spans="2:8">
      <c r="B26" s="549">
        <v>11</v>
      </c>
      <c r="C26" s="546" t="s">
        <v>480</v>
      </c>
      <c r="D26" s="550"/>
      <c r="E26" s="551" t="s">
        <v>164</v>
      </c>
      <c r="F26" s="552">
        <v>1</v>
      </c>
      <c r="G26" s="548"/>
      <c r="H26" s="553"/>
    </row>
    <row r="27" spans="2:8">
      <c r="B27" s="549">
        <v>12</v>
      </c>
      <c r="C27" s="554" t="s">
        <v>481</v>
      </c>
      <c r="D27" s="555"/>
      <c r="E27" s="556" t="s">
        <v>472</v>
      </c>
      <c r="F27" s="535">
        <v>780</v>
      </c>
      <c r="G27" s="536"/>
      <c r="H27" s="537"/>
    </row>
    <row r="28" spans="2:8">
      <c r="B28" s="549">
        <v>13</v>
      </c>
      <c r="C28" s="557" t="s">
        <v>482</v>
      </c>
      <c r="D28" s="558"/>
      <c r="E28" s="559" t="s">
        <v>164</v>
      </c>
      <c r="F28" s="560">
        <v>1</v>
      </c>
      <c r="G28" s="561"/>
      <c r="H28" s="562"/>
    </row>
    <row r="29" spans="2:8">
      <c r="B29" s="769" t="s">
        <v>483</v>
      </c>
      <c r="C29" s="770"/>
      <c r="D29" s="770"/>
      <c r="E29" s="770"/>
      <c r="F29" s="770"/>
      <c r="G29" s="771"/>
      <c r="H29" s="563">
        <f>SUM(H14:H28)</f>
        <v>0</v>
      </c>
    </row>
    <row r="30" spans="2:8">
      <c r="B30" s="564"/>
      <c r="C30" s="565"/>
      <c r="D30" s="533"/>
      <c r="E30" s="566"/>
      <c r="F30" s="567"/>
      <c r="G30" s="568"/>
      <c r="H30" s="569"/>
    </row>
    <row r="31" spans="2:8">
      <c r="B31" s="570" t="s">
        <v>436</v>
      </c>
      <c r="C31" s="571" t="s">
        <v>484</v>
      </c>
      <c r="D31" s="572"/>
      <c r="E31" s="573"/>
      <c r="F31" s="574"/>
      <c r="G31" s="575"/>
      <c r="H31" s="576"/>
    </row>
    <row r="32" spans="2:8">
      <c r="B32" s="531">
        <v>1</v>
      </c>
      <c r="C32" s="706" t="s">
        <v>485</v>
      </c>
      <c r="D32" s="577"/>
      <c r="E32" s="578" t="s">
        <v>486</v>
      </c>
      <c r="F32" s="579">
        <f>((152.64+12.75-2-2.8)*2)+(24.82*2)+(40.4*2)</f>
        <v>451.61999999999995</v>
      </c>
      <c r="G32" s="580"/>
      <c r="H32" s="581"/>
    </row>
    <row r="33" spans="2:8">
      <c r="B33" s="531"/>
      <c r="C33" s="706"/>
      <c r="D33" s="577"/>
      <c r="E33" s="578"/>
      <c r="F33" s="579"/>
      <c r="G33" s="580"/>
      <c r="H33" s="581"/>
    </row>
    <row r="34" spans="2:8">
      <c r="B34" s="531">
        <v>2</v>
      </c>
      <c r="C34" s="706" t="s">
        <v>487</v>
      </c>
      <c r="D34" s="577"/>
      <c r="E34" s="578" t="s">
        <v>486</v>
      </c>
      <c r="F34" s="579">
        <f>F32*2</f>
        <v>903.2399999999999</v>
      </c>
      <c r="G34" s="580"/>
      <c r="H34" s="581"/>
    </row>
    <row r="35" spans="2:8">
      <c r="B35" s="531"/>
      <c r="C35" s="706"/>
      <c r="D35" s="577"/>
      <c r="E35" s="578"/>
      <c r="F35" s="579"/>
      <c r="G35" s="580"/>
      <c r="H35" s="581"/>
    </row>
    <row r="36" spans="2:8">
      <c r="B36" s="531">
        <v>3</v>
      </c>
      <c r="C36" s="706" t="s">
        <v>488</v>
      </c>
      <c r="D36" s="577"/>
      <c r="E36" s="578" t="s">
        <v>486</v>
      </c>
      <c r="F36" s="579">
        <f>F34-75</f>
        <v>828.2399999999999</v>
      </c>
      <c r="G36" s="580"/>
      <c r="H36" s="581"/>
    </row>
    <row r="37" spans="2:8">
      <c r="B37" s="531"/>
      <c r="C37" s="706"/>
      <c r="D37" s="577"/>
      <c r="E37" s="578"/>
      <c r="F37" s="579"/>
      <c r="G37" s="580"/>
      <c r="H37" s="581"/>
    </row>
    <row r="38" spans="2:8">
      <c r="B38" s="531">
        <v>4</v>
      </c>
      <c r="C38" s="706" t="s">
        <v>489</v>
      </c>
      <c r="D38" s="577"/>
      <c r="E38" s="578" t="s">
        <v>486</v>
      </c>
      <c r="F38" s="579">
        <f>((313+38+3)*2)-(24.82*2)</f>
        <v>658.36</v>
      </c>
      <c r="G38" s="580"/>
      <c r="H38" s="581"/>
    </row>
    <row r="39" spans="2:8">
      <c r="B39" s="531"/>
      <c r="C39" s="706"/>
      <c r="D39" s="577"/>
      <c r="E39" s="578"/>
      <c r="F39" s="579"/>
      <c r="G39" s="580"/>
      <c r="H39" s="581"/>
    </row>
    <row r="40" spans="2:8">
      <c r="B40" s="531">
        <v>5</v>
      </c>
      <c r="C40" s="706" t="s">
        <v>490</v>
      </c>
      <c r="D40" s="577"/>
      <c r="E40" s="578" t="s">
        <v>486</v>
      </c>
      <c r="F40" s="579">
        <f>F46+F52</f>
        <v>430.82</v>
      </c>
      <c r="G40" s="580"/>
      <c r="H40" s="581"/>
    </row>
    <row r="41" spans="2:8">
      <c r="B41" s="531"/>
      <c r="C41" s="706"/>
      <c r="D41" s="577"/>
      <c r="E41" s="578"/>
      <c r="F41" s="579"/>
      <c r="G41" s="580"/>
      <c r="H41" s="581"/>
    </row>
    <row r="42" spans="2:8">
      <c r="B42" s="531">
        <v>6</v>
      </c>
      <c r="C42" s="706" t="s">
        <v>491</v>
      </c>
      <c r="D42" s="577"/>
      <c r="E42" s="578" t="s">
        <v>486</v>
      </c>
      <c r="F42" s="579">
        <f>73.19*2</f>
        <v>146.38</v>
      </c>
      <c r="G42" s="580"/>
      <c r="H42" s="581"/>
    </row>
    <row r="43" spans="2:8">
      <c r="B43" s="531"/>
      <c r="C43" s="707" t="s">
        <v>492</v>
      </c>
      <c r="D43" s="577"/>
      <c r="E43" s="578"/>
      <c r="F43" s="579"/>
      <c r="G43" s="580"/>
      <c r="H43" s="581"/>
    </row>
    <row r="44" spans="2:8">
      <c r="B44" s="531"/>
      <c r="C44" s="707" t="s">
        <v>493</v>
      </c>
      <c r="D44" s="577"/>
      <c r="E44" s="578"/>
      <c r="F44" s="579"/>
      <c r="G44" s="580"/>
      <c r="H44" s="581"/>
    </row>
    <row r="45" spans="2:8">
      <c r="B45" s="531"/>
      <c r="C45" s="707"/>
      <c r="D45" s="577"/>
      <c r="E45" s="578"/>
      <c r="F45" s="579"/>
      <c r="G45" s="580"/>
      <c r="H45" s="581"/>
    </row>
    <row r="46" spans="2:8">
      <c r="B46" s="531">
        <v>7</v>
      </c>
      <c r="C46" s="706" t="s">
        <v>494</v>
      </c>
      <c r="D46" s="577"/>
      <c r="E46" s="578" t="s">
        <v>486</v>
      </c>
      <c r="F46" s="579">
        <f>(55.82+19+36)*2</f>
        <v>221.64</v>
      </c>
      <c r="G46" s="580"/>
      <c r="H46" s="581"/>
    </row>
    <row r="47" spans="2:8">
      <c r="B47" s="531"/>
      <c r="C47" s="707" t="s">
        <v>495</v>
      </c>
      <c r="D47" s="577"/>
      <c r="E47" s="578"/>
      <c r="F47" s="579"/>
      <c r="G47" s="580"/>
      <c r="H47" s="581"/>
    </row>
    <row r="48" spans="2:8">
      <c r="B48" s="531"/>
      <c r="C48" s="707" t="s">
        <v>493</v>
      </c>
      <c r="D48" s="577"/>
      <c r="E48" s="578"/>
      <c r="F48" s="579"/>
      <c r="G48" s="580"/>
      <c r="H48" s="581"/>
    </row>
    <row r="49" spans="2:8">
      <c r="B49" s="531"/>
      <c r="C49" s="707"/>
      <c r="D49" s="577"/>
      <c r="E49" s="578"/>
      <c r="F49" s="579"/>
      <c r="G49" s="580"/>
      <c r="H49" s="581"/>
    </row>
    <row r="50" spans="2:8">
      <c r="B50" s="531">
        <v>8</v>
      </c>
      <c r="C50" s="706" t="s">
        <v>496</v>
      </c>
      <c r="D50" s="577"/>
      <c r="E50" s="578" t="s">
        <v>486</v>
      </c>
      <c r="F50" s="579">
        <f>(55.82+19+36)*2</f>
        <v>221.64</v>
      </c>
      <c r="G50" s="580"/>
      <c r="H50" s="581"/>
    </row>
    <row r="51" spans="2:8">
      <c r="B51" s="531"/>
      <c r="C51" s="707"/>
      <c r="D51" s="577"/>
      <c r="E51" s="578"/>
      <c r="F51" s="579"/>
      <c r="G51" s="580"/>
      <c r="H51" s="581"/>
    </row>
    <row r="52" spans="2:8">
      <c r="B52" s="531">
        <v>9</v>
      </c>
      <c r="C52" s="706" t="s">
        <v>497</v>
      </c>
      <c r="D52" s="577"/>
      <c r="E52" s="578" t="s">
        <v>486</v>
      </c>
      <c r="F52" s="579">
        <f>(77.77+26.82)*2</f>
        <v>209.18</v>
      </c>
      <c r="G52" s="580"/>
      <c r="H52" s="581"/>
    </row>
    <row r="53" spans="2:8">
      <c r="B53" s="531"/>
      <c r="C53" s="707" t="s">
        <v>495</v>
      </c>
      <c r="D53" s="577"/>
      <c r="E53" s="578"/>
      <c r="F53" s="579"/>
      <c r="G53" s="580"/>
      <c r="H53" s="581"/>
    </row>
    <row r="54" spans="2:8" ht="32.25" customHeight="1">
      <c r="B54" s="531"/>
      <c r="C54" s="752" t="s">
        <v>498</v>
      </c>
      <c r="D54" s="753"/>
      <c r="E54" s="578"/>
      <c r="F54" s="579"/>
      <c r="G54" s="580"/>
      <c r="H54" s="581"/>
    </row>
    <row r="55" spans="2:8">
      <c r="B55" s="531"/>
      <c r="C55" s="707" t="s">
        <v>499</v>
      </c>
      <c r="D55" s="577"/>
      <c r="E55" s="578"/>
      <c r="F55" s="579"/>
      <c r="G55" s="580"/>
      <c r="H55" s="581"/>
    </row>
    <row r="56" spans="2:8">
      <c r="B56" s="531"/>
      <c r="C56" s="707"/>
      <c r="D56" s="577"/>
      <c r="E56" s="578"/>
      <c r="F56" s="579"/>
      <c r="G56" s="580"/>
      <c r="H56" s="581"/>
    </row>
    <row r="57" spans="2:8">
      <c r="B57" s="531">
        <v>10</v>
      </c>
      <c r="C57" s="706" t="s">
        <v>500</v>
      </c>
      <c r="D57" s="577"/>
      <c r="E57" s="578" t="s">
        <v>501</v>
      </c>
      <c r="F57" s="579"/>
      <c r="G57" s="580"/>
      <c r="H57" s="581"/>
    </row>
    <row r="58" spans="2:8">
      <c r="B58" s="531"/>
      <c r="C58" s="707" t="s">
        <v>502</v>
      </c>
      <c r="D58" s="577"/>
      <c r="E58" s="578" t="s">
        <v>174</v>
      </c>
      <c r="F58" s="579">
        <f>31*2</f>
        <v>62</v>
      </c>
      <c r="G58" s="580"/>
      <c r="H58" s="581"/>
    </row>
    <row r="59" spans="2:8" ht="28.5" customHeight="1">
      <c r="B59" s="531"/>
      <c r="C59" s="752" t="s">
        <v>503</v>
      </c>
      <c r="D59" s="753"/>
      <c r="E59" s="578" t="s">
        <v>174</v>
      </c>
      <c r="F59" s="579">
        <v>106</v>
      </c>
      <c r="G59" s="580"/>
      <c r="H59" s="581"/>
    </row>
    <row r="60" spans="2:8">
      <c r="B60" s="531"/>
      <c r="C60" s="707"/>
      <c r="D60" s="577"/>
      <c r="E60" s="578"/>
      <c r="F60" s="579"/>
      <c r="G60" s="580"/>
      <c r="H60" s="581"/>
    </row>
    <row r="61" spans="2:8">
      <c r="B61" s="531">
        <v>11</v>
      </c>
      <c r="C61" s="706" t="s">
        <v>504</v>
      </c>
      <c r="D61" s="577"/>
      <c r="E61" s="578" t="s">
        <v>174</v>
      </c>
      <c r="F61" s="579">
        <f>(19.3*2)+(39*2)</f>
        <v>116.6</v>
      </c>
      <c r="G61" s="580"/>
      <c r="H61" s="581"/>
    </row>
    <row r="62" spans="2:8">
      <c r="B62" s="531"/>
      <c r="C62" s="707" t="s">
        <v>505</v>
      </c>
      <c r="D62" s="577"/>
      <c r="E62" s="578"/>
      <c r="F62" s="579"/>
      <c r="G62" s="580"/>
      <c r="H62" s="581"/>
    </row>
    <row r="63" spans="2:8">
      <c r="B63" s="531"/>
      <c r="C63" s="707" t="s">
        <v>506</v>
      </c>
      <c r="D63" s="577"/>
      <c r="E63" s="578"/>
      <c r="F63" s="579"/>
      <c r="G63" s="580"/>
      <c r="H63" s="581"/>
    </row>
    <row r="64" spans="2:8">
      <c r="B64" s="531"/>
      <c r="C64" s="707" t="s">
        <v>507</v>
      </c>
      <c r="D64" s="577"/>
      <c r="E64" s="578"/>
      <c r="F64" s="579"/>
      <c r="G64" s="580"/>
      <c r="H64" s="581"/>
    </row>
    <row r="65" spans="2:8">
      <c r="B65" s="531"/>
      <c r="C65" s="707" t="s">
        <v>508</v>
      </c>
      <c r="D65" s="577"/>
      <c r="E65" s="578"/>
      <c r="F65" s="579"/>
      <c r="G65" s="580"/>
      <c r="H65" s="581"/>
    </row>
    <row r="66" spans="2:8">
      <c r="B66" s="531"/>
      <c r="C66" s="706"/>
      <c r="D66" s="577"/>
      <c r="E66" s="578"/>
      <c r="F66" s="579"/>
      <c r="G66" s="580"/>
      <c r="H66" s="581"/>
    </row>
    <row r="67" spans="2:8">
      <c r="B67" s="531">
        <v>12</v>
      </c>
      <c r="C67" s="706" t="s">
        <v>509</v>
      </c>
      <c r="D67" s="577"/>
      <c r="E67" s="578" t="s">
        <v>174</v>
      </c>
      <c r="F67" s="579">
        <f>22+(9.2*2)+(17*2)+(11.8*2)</f>
        <v>98</v>
      </c>
      <c r="G67" s="580"/>
      <c r="H67" s="581"/>
    </row>
    <row r="68" spans="2:8">
      <c r="B68" s="531"/>
      <c r="C68" s="707" t="s">
        <v>510</v>
      </c>
      <c r="D68" s="577"/>
      <c r="E68" s="578"/>
      <c r="F68" s="579"/>
      <c r="G68" s="580"/>
      <c r="H68" s="581"/>
    </row>
    <row r="69" spans="2:8">
      <c r="B69" s="531"/>
      <c r="C69" s="707" t="s">
        <v>511</v>
      </c>
      <c r="D69" s="577"/>
      <c r="E69" s="578"/>
      <c r="F69" s="579"/>
      <c r="G69" s="580"/>
      <c r="H69" s="581"/>
    </row>
    <row r="70" spans="2:8">
      <c r="B70" s="531"/>
      <c r="C70" s="706"/>
      <c r="D70" s="577"/>
      <c r="E70" s="578"/>
      <c r="F70" s="579"/>
      <c r="G70" s="580"/>
      <c r="H70" s="581"/>
    </row>
    <row r="71" spans="2:8">
      <c r="B71" s="531">
        <v>13</v>
      </c>
      <c r="C71" s="706" t="s">
        <v>512</v>
      </c>
      <c r="D71" s="577"/>
      <c r="E71" s="578" t="s">
        <v>513</v>
      </c>
      <c r="F71" s="579">
        <v>3</v>
      </c>
      <c r="G71" s="580"/>
      <c r="H71" s="581"/>
    </row>
    <row r="72" spans="2:8">
      <c r="B72" s="531"/>
      <c r="C72" s="706"/>
      <c r="D72" s="577"/>
      <c r="E72" s="578"/>
      <c r="F72" s="582"/>
      <c r="G72" s="580"/>
      <c r="H72" s="581"/>
    </row>
    <row r="73" spans="2:8" ht="17.25" customHeight="1">
      <c r="B73" s="769" t="s">
        <v>514</v>
      </c>
      <c r="C73" s="772"/>
      <c r="D73" s="772"/>
      <c r="E73" s="772"/>
      <c r="F73" s="772"/>
      <c r="G73" s="773"/>
      <c r="H73" s="607">
        <f>SUM(H32:H72)</f>
        <v>0</v>
      </c>
    </row>
    <row r="74" spans="2:8" ht="0.75" hidden="1" customHeight="1">
      <c r="B74" s="583"/>
      <c r="C74" s="584"/>
      <c r="D74" s="585"/>
      <c r="E74" s="586"/>
      <c r="F74" s="587"/>
      <c r="G74" s="588"/>
      <c r="H74" s="589"/>
    </row>
    <row r="75" spans="2:8" ht="27.75" customHeight="1">
      <c r="B75" s="778" t="s">
        <v>515</v>
      </c>
      <c r="C75" s="779"/>
      <c r="D75" s="779"/>
      <c r="E75" s="779"/>
      <c r="F75" s="779"/>
      <c r="G75" s="780"/>
      <c r="H75" s="590">
        <f>SUM(H29,H73)</f>
        <v>0</v>
      </c>
    </row>
    <row r="76" spans="2:8">
      <c r="B76" s="591"/>
      <c r="C76" s="592"/>
      <c r="D76" s="593"/>
      <c r="E76" s="594"/>
      <c r="F76" s="594"/>
      <c r="G76" s="595"/>
      <c r="H76" s="596"/>
    </row>
    <row r="77" spans="2:8" ht="15.5">
      <c r="B77" s="597" t="s">
        <v>516</v>
      </c>
      <c r="C77" s="518" t="s">
        <v>517</v>
      </c>
      <c r="D77" s="598"/>
      <c r="E77" s="599"/>
      <c r="F77" s="600"/>
      <c r="G77" s="601"/>
      <c r="H77" s="602"/>
    </row>
    <row r="78" spans="2:8">
      <c r="B78" s="570" t="s">
        <v>465</v>
      </c>
      <c r="C78" s="603" t="s">
        <v>518</v>
      </c>
      <c r="D78" s="572"/>
      <c r="E78" s="573"/>
      <c r="F78" s="604"/>
      <c r="G78" s="575"/>
      <c r="H78" s="576"/>
    </row>
    <row r="79" spans="2:8" ht="15.5">
      <c r="B79" s="605">
        <v>1</v>
      </c>
      <c r="C79" s="708" t="s">
        <v>519</v>
      </c>
      <c r="D79" s="532"/>
      <c r="E79" s="606" t="s">
        <v>520</v>
      </c>
      <c r="F79" s="567">
        <v>88.928400000000011</v>
      </c>
      <c r="G79" s="568"/>
      <c r="H79" s="581"/>
    </row>
    <row r="80" spans="2:8" ht="15.5">
      <c r="B80" s="605">
        <v>2</v>
      </c>
      <c r="C80" s="708" t="s">
        <v>521</v>
      </c>
      <c r="D80" s="532"/>
      <c r="E80" s="606" t="s">
        <v>520</v>
      </c>
      <c r="F80" s="567">
        <v>11.7584</v>
      </c>
      <c r="G80" s="568"/>
      <c r="H80" s="581"/>
    </row>
    <row r="81" spans="2:8" ht="15.5">
      <c r="B81" s="605">
        <v>3</v>
      </c>
      <c r="C81" s="708" t="s">
        <v>522</v>
      </c>
      <c r="D81" s="532"/>
      <c r="E81" s="606" t="s">
        <v>520</v>
      </c>
      <c r="F81" s="567">
        <v>5.8792</v>
      </c>
      <c r="G81" s="568"/>
      <c r="H81" s="581"/>
    </row>
    <row r="82" spans="2:8">
      <c r="B82" s="605"/>
      <c r="C82" s="708"/>
      <c r="D82" s="532"/>
      <c r="E82" s="566"/>
      <c r="F82" s="567"/>
      <c r="G82" s="568"/>
      <c r="H82" s="581"/>
    </row>
    <row r="83" spans="2:8">
      <c r="B83" s="769" t="s">
        <v>523</v>
      </c>
      <c r="C83" s="772"/>
      <c r="D83" s="772"/>
      <c r="E83" s="772"/>
      <c r="F83" s="772"/>
      <c r="G83" s="773"/>
      <c r="H83" s="607">
        <f>SUM(H79:H82)</f>
        <v>0</v>
      </c>
    </row>
    <row r="84" spans="2:8">
      <c r="B84" s="608"/>
      <c r="C84" s="609"/>
      <c r="D84" s="610"/>
      <c r="E84" s="611"/>
      <c r="F84" s="567"/>
      <c r="G84" s="568"/>
      <c r="H84" s="612"/>
    </row>
    <row r="85" spans="2:8">
      <c r="B85" s="570" t="s">
        <v>436</v>
      </c>
      <c r="C85" s="603" t="s">
        <v>524</v>
      </c>
      <c r="D85" s="572"/>
      <c r="E85" s="573"/>
      <c r="F85" s="604"/>
      <c r="G85" s="575"/>
      <c r="H85" s="576"/>
    </row>
    <row r="86" spans="2:8">
      <c r="B86" s="605">
        <v>1</v>
      </c>
      <c r="C86" s="708" t="s">
        <v>525</v>
      </c>
      <c r="D86" s="532"/>
      <c r="E86" s="566"/>
      <c r="F86" s="567"/>
      <c r="G86" s="568"/>
      <c r="H86" s="581"/>
    </row>
    <row r="87" spans="2:8">
      <c r="B87" s="605"/>
      <c r="C87" s="709" t="s">
        <v>607</v>
      </c>
      <c r="D87" s="532"/>
      <c r="E87" s="606" t="s">
        <v>5</v>
      </c>
      <c r="F87" s="613">
        <v>1</v>
      </c>
      <c r="G87" s="614"/>
      <c r="H87" s="581"/>
    </row>
    <row r="88" spans="2:8">
      <c r="B88" s="605"/>
      <c r="C88" s="709" t="s">
        <v>601</v>
      </c>
      <c r="D88" s="532"/>
      <c r="E88" s="606" t="s">
        <v>410</v>
      </c>
      <c r="F88" s="613">
        <v>339.36</v>
      </c>
      <c r="G88" s="614"/>
      <c r="H88" s="581"/>
    </row>
    <row r="89" spans="2:8">
      <c r="B89" s="605"/>
      <c r="C89" s="709" t="s">
        <v>526</v>
      </c>
      <c r="D89" s="532"/>
      <c r="E89" s="606" t="s">
        <v>410</v>
      </c>
      <c r="F89" s="613">
        <v>339.36</v>
      </c>
      <c r="G89" s="614"/>
      <c r="H89" s="581"/>
    </row>
    <row r="90" spans="2:8">
      <c r="B90" s="605"/>
      <c r="C90" s="710" t="s">
        <v>527</v>
      </c>
      <c r="D90" s="532"/>
      <c r="E90" s="606" t="s">
        <v>11</v>
      </c>
      <c r="F90" s="613">
        <v>42</v>
      </c>
      <c r="G90" s="614"/>
      <c r="H90" s="581"/>
    </row>
    <row r="91" spans="2:8">
      <c r="B91" s="605"/>
      <c r="C91" s="711" t="s">
        <v>528</v>
      </c>
      <c r="D91" s="532"/>
      <c r="E91" s="606" t="s">
        <v>11</v>
      </c>
      <c r="F91" s="613">
        <v>42</v>
      </c>
      <c r="G91" s="614"/>
      <c r="H91" s="581"/>
    </row>
    <row r="92" spans="2:8">
      <c r="B92" s="605"/>
      <c r="C92" s="712" t="s">
        <v>529</v>
      </c>
      <c r="D92" s="532"/>
      <c r="E92" s="606" t="s">
        <v>11</v>
      </c>
      <c r="F92" s="613">
        <v>5</v>
      </c>
      <c r="G92" s="614"/>
      <c r="H92" s="581"/>
    </row>
    <row r="93" spans="2:8">
      <c r="B93" s="605"/>
      <c r="C93" s="712"/>
      <c r="D93" s="532"/>
      <c r="E93" s="606"/>
      <c r="F93" s="613"/>
      <c r="G93" s="614"/>
      <c r="H93" s="581"/>
    </row>
    <row r="94" spans="2:8">
      <c r="B94" s="605">
        <v>2</v>
      </c>
      <c r="C94" s="713" t="s">
        <v>530</v>
      </c>
      <c r="D94" s="532"/>
      <c r="E94" s="606"/>
      <c r="F94" s="613"/>
      <c r="G94" s="614"/>
      <c r="H94" s="581"/>
    </row>
    <row r="95" spans="2:8" ht="15.5">
      <c r="B95" s="605"/>
      <c r="C95" s="714" t="s">
        <v>531</v>
      </c>
      <c r="D95" s="532"/>
      <c r="E95" s="606" t="s">
        <v>520</v>
      </c>
      <c r="F95" s="613">
        <f>11.475+3.825</f>
        <v>15.3</v>
      </c>
      <c r="G95" s="614"/>
      <c r="H95" s="581"/>
    </row>
    <row r="96" spans="2:8">
      <c r="B96" s="605"/>
      <c r="C96" s="714" t="s">
        <v>532</v>
      </c>
      <c r="D96" s="532"/>
      <c r="E96" s="606" t="s">
        <v>533</v>
      </c>
      <c r="F96" s="613">
        <f>(754.8213972/6)*8</f>
        <v>1006.4285295999999</v>
      </c>
      <c r="G96" s="614"/>
      <c r="H96" s="581"/>
    </row>
    <row r="97" spans="2:8" ht="15.5">
      <c r="B97" s="605"/>
      <c r="C97" s="714" t="s">
        <v>534</v>
      </c>
      <c r="D97" s="532"/>
      <c r="E97" s="606" t="s">
        <v>535</v>
      </c>
      <c r="F97" s="613">
        <f>(30.6/6)*8</f>
        <v>40.800000000000004</v>
      </c>
      <c r="G97" s="614"/>
      <c r="H97" s="581"/>
    </row>
    <row r="98" spans="2:8">
      <c r="B98" s="605"/>
      <c r="C98" s="715"/>
      <c r="D98" s="532"/>
      <c r="E98" s="606"/>
      <c r="F98" s="613"/>
      <c r="G98" s="614"/>
      <c r="H98" s="581"/>
    </row>
    <row r="99" spans="2:8">
      <c r="B99" s="605">
        <v>3</v>
      </c>
      <c r="C99" s="713" t="s">
        <v>536</v>
      </c>
      <c r="D99" s="532"/>
      <c r="E99" s="606"/>
      <c r="F99" s="613"/>
      <c r="G99" s="614"/>
      <c r="H99" s="581"/>
    </row>
    <row r="100" spans="2:8" ht="15.5">
      <c r="B100" s="605"/>
      <c r="C100" s="714" t="s">
        <v>531</v>
      </c>
      <c r="D100" s="532"/>
      <c r="E100" s="606" t="s">
        <v>520</v>
      </c>
      <c r="F100" s="613">
        <v>6.8849999999999998</v>
      </c>
      <c r="G100" s="614"/>
      <c r="H100" s="581"/>
    </row>
    <row r="101" spans="2:8">
      <c r="B101" s="605"/>
      <c r="C101" s="714" t="s">
        <v>532</v>
      </c>
      <c r="D101" s="532"/>
      <c r="E101" s="606" t="s">
        <v>533</v>
      </c>
      <c r="F101" s="613">
        <v>734.95060584999999</v>
      </c>
      <c r="G101" s="614"/>
      <c r="H101" s="581"/>
    </row>
    <row r="102" spans="2:8" ht="15.5">
      <c r="B102" s="605"/>
      <c r="C102" s="714" t="s">
        <v>534</v>
      </c>
      <c r="D102" s="532"/>
      <c r="E102" s="606" t="s">
        <v>535</v>
      </c>
      <c r="F102" s="613">
        <v>13.77</v>
      </c>
      <c r="G102" s="614"/>
      <c r="H102" s="581"/>
    </row>
    <row r="103" spans="2:8">
      <c r="B103" s="605"/>
      <c r="C103" s="715"/>
      <c r="D103" s="616"/>
      <c r="E103" s="606"/>
      <c r="F103" s="613"/>
      <c r="G103" s="614"/>
      <c r="H103" s="581"/>
    </row>
    <row r="104" spans="2:8">
      <c r="B104" s="605">
        <v>4</v>
      </c>
      <c r="C104" s="713" t="s">
        <v>537</v>
      </c>
      <c r="D104" s="616"/>
      <c r="E104" s="606"/>
      <c r="F104" s="613"/>
      <c r="G104" s="614"/>
      <c r="H104" s="581"/>
    </row>
    <row r="105" spans="2:8" ht="15.5">
      <c r="B105" s="605"/>
      <c r="C105" s="714" t="s">
        <v>531</v>
      </c>
      <c r="D105" s="616"/>
      <c r="E105" s="606" t="s">
        <v>520</v>
      </c>
      <c r="F105" s="613">
        <v>8.5590000000000011</v>
      </c>
      <c r="G105" s="614"/>
      <c r="H105" s="581"/>
    </row>
    <row r="106" spans="2:8">
      <c r="B106" s="605"/>
      <c r="C106" s="714" t="s">
        <v>532</v>
      </c>
      <c r="D106" s="616"/>
      <c r="E106" s="606" t="s">
        <v>533</v>
      </c>
      <c r="F106" s="613">
        <v>1768.07277</v>
      </c>
      <c r="G106" s="614"/>
      <c r="H106" s="581"/>
    </row>
    <row r="107" spans="2:8" ht="15.5">
      <c r="B107" s="605"/>
      <c r="C107" s="714" t="s">
        <v>534</v>
      </c>
      <c r="D107" s="616"/>
      <c r="E107" s="606" t="s">
        <v>535</v>
      </c>
      <c r="F107" s="613">
        <v>18.5184</v>
      </c>
      <c r="G107" s="614"/>
      <c r="H107" s="581"/>
    </row>
    <row r="108" spans="2:8">
      <c r="B108" s="605"/>
      <c r="C108" s="715"/>
      <c r="D108" s="616"/>
      <c r="E108" s="606"/>
      <c r="F108" s="613"/>
      <c r="G108" s="614"/>
      <c r="H108" s="581"/>
    </row>
    <row r="109" spans="2:8">
      <c r="B109" s="605">
        <v>5</v>
      </c>
      <c r="C109" s="713" t="s">
        <v>538</v>
      </c>
      <c r="D109" s="616"/>
      <c r="E109" s="606"/>
      <c r="F109" s="613"/>
      <c r="G109" s="614"/>
      <c r="H109" s="581"/>
    </row>
    <row r="110" spans="2:8" ht="15.5">
      <c r="B110" s="605"/>
      <c r="C110" s="714" t="s">
        <v>531</v>
      </c>
      <c r="D110" s="616"/>
      <c r="E110" s="606" t="s">
        <v>520</v>
      </c>
      <c r="F110" s="613">
        <v>11.25</v>
      </c>
      <c r="G110" s="614"/>
      <c r="H110" s="581"/>
    </row>
    <row r="111" spans="2:8">
      <c r="B111" s="605"/>
      <c r="C111" s="714" t="s">
        <v>532</v>
      </c>
      <c r="D111" s="616"/>
      <c r="E111" s="606" t="s">
        <v>533</v>
      </c>
      <c r="F111" s="613">
        <v>1034.0830643333334</v>
      </c>
      <c r="G111" s="614"/>
      <c r="H111" s="581"/>
    </row>
    <row r="112" spans="2:8" ht="15.5">
      <c r="B112" s="605"/>
      <c r="C112" s="714" t="s">
        <v>534</v>
      </c>
      <c r="D112" s="616"/>
      <c r="E112" s="606" t="s">
        <v>535</v>
      </c>
      <c r="F112" s="613">
        <v>18</v>
      </c>
      <c r="G112" s="614"/>
      <c r="H112" s="581"/>
    </row>
    <row r="113" spans="2:8">
      <c r="B113" s="605"/>
      <c r="C113" s="715"/>
      <c r="D113" s="616"/>
      <c r="E113" s="606"/>
      <c r="F113" s="613"/>
      <c r="G113" s="614"/>
      <c r="H113" s="581"/>
    </row>
    <row r="114" spans="2:8">
      <c r="B114" s="605"/>
      <c r="C114" s="715"/>
      <c r="D114" s="616"/>
      <c r="E114" s="606"/>
      <c r="F114" s="613"/>
      <c r="G114" s="614"/>
      <c r="H114" s="581"/>
    </row>
    <row r="115" spans="2:8">
      <c r="B115" s="605">
        <v>6</v>
      </c>
      <c r="C115" s="713" t="s">
        <v>539</v>
      </c>
      <c r="D115" s="616"/>
      <c r="E115" s="606"/>
      <c r="F115" s="613"/>
      <c r="G115" s="614"/>
      <c r="H115" s="581"/>
    </row>
    <row r="116" spans="2:8" ht="15.5">
      <c r="B116" s="605"/>
      <c r="C116" s="714" t="s">
        <v>531</v>
      </c>
      <c r="D116" s="616"/>
      <c r="E116" s="606" t="s">
        <v>520</v>
      </c>
      <c r="F116" s="613">
        <v>12.75</v>
      </c>
      <c r="G116" s="614"/>
      <c r="H116" s="581"/>
    </row>
    <row r="117" spans="2:8">
      <c r="B117" s="605"/>
      <c r="C117" s="714" t="s">
        <v>532</v>
      </c>
      <c r="D117" s="616"/>
      <c r="E117" s="606" t="s">
        <v>533</v>
      </c>
      <c r="F117" s="613">
        <v>1164.3160558333334</v>
      </c>
      <c r="G117" s="614"/>
      <c r="H117" s="581"/>
    </row>
    <row r="118" spans="2:8" ht="15.5">
      <c r="B118" s="605"/>
      <c r="C118" s="714" t="s">
        <v>534</v>
      </c>
      <c r="D118" s="616"/>
      <c r="E118" s="606" t="s">
        <v>535</v>
      </c>
      <c r="F118" s="613">
        <v>18.7</v>
      </c>
      <c r="G118" s="614"/>
      <c r="H118" s="581"/>
    </row>
    <row r="119" spans="2:8">
      <c r="B119" s="617"/>
      <c r="C119" s="716"/>
      <c r="D119" s="616"/>
      <c r="E119" s="566"/>
      <c r="F119" s="567"/>
      <c r="G119" s="568"/>
      <c r="H119" s="581"/>
    </row>
    <row r="120" spans="2:8">
      <c r="B120" s="769" t="s">
        <v>540</v>
      </c>
      <c r="C120" s="772"/>
      <c r="D120" s="772"/>
      <c r="E120" s="772"/>
      <c r="F120" s="772"/>
      <c r="G120" s="773"/>
      <c r="H120" s="607">
        <f>SUM(H87:H119)</f>
        <v>0</v>
      </c>
    </row>
    <row r="121" spans="2:8">
      <c r="B121" s="618"/>
      <c r="C121" s="619"/>
      <c r="D121" s="620"/>
      <c r="E121" s="618"/>
      <c r="F121" s="621"/>
      <c r="G121" s="622"/>
      <c r="H121" s="569"/>
    </row>
    <row r="122" spans="2:8">
      <c r="B122" s="570" t="s">
        <v>438</v>
      </c>
      <c r="C122" s="623" t="s">
        <v>541</v>
      </c>
      <c r="D122" s="572"/>
      <c r="E122" s="573"/>
      <c r="F122" s="604"/>
      <c r="G122" s="575"/>
      <c r="H122" s="576"/>
    </row>
    <row r="123" spans="2:8">
      <c r="B123" s="617">
        <v>1</v>
      </c>
      <c r="C123" s="713" t="s">
        <v>542</v>
      </c>
      <c r="D123" s="624"/>
      <c r="E123" s="566"/>
      <c r="F123" s="567"/>
      <c r="G123" s="568"/>
      <c r="H123" s="581"/>
    </row>
    <row r="124" spans="2:8" ht="15.5">
      <c r="B124" s="617"/>
      <c r="C124" s="714" t="s">
        <v>531</v>
      </c>
      <c r="D124" s="624"/>
      <c r="E124" s="625" t="s">
        <v>520</v>
      </c>
      <c r="F124" s="626">
        <v>28.71</v>
      </c>
      <c r="G124" s="627"/>
      <c r="H124" s="581"/>
    </row>
    <row r="125" spans="2:8">
      <c r="B125" s="617"/>
      <c r="C125" s="717" t="s">
        <v>532</v>
      </c>
      <c r="D125" s="624"/>
      <c r="E125" s="606" t="s">
        <v>533</v>
      </c>
      <c r="F125" s="613">
        <v>8043.8462670255494</v>
      </c>
      <c r="G125" s="629"/>
      <c r="H125" s="581"/>
    </row>
    <row r="126" spans="2:8" ht="15.5">
      <c r="B126" s="617"/>
      <c r="C126" s="718" t="s">
        <v>543</v>
      </c>
      <c r="D126" s="624"/>
      <c r="E126" s="606" t="s">
        <v>535</v>
      </c>
      <c r="F126" s="630">
        <v>191.4</v>
      </c>
      <c r="G126" s="629"/>
      <c r="H126" s="581"/>
    </row>
    <row r="127" spans="2:8">
      <c r="B127" s="617"/>
      <c r="C127" s="715"/>
      <c r="D127" s="631"/>
      <c r="E127" s="606"/>
      <c r="F127" s="630"/>
      <c r="G127" s="629"/>
      <c r="H127" s="581"/>
    </row>
    <row r="128" spans="2:8">
      <c r="B128" s="617">
        <v>2</v>
      </c>
      <c r="C128" s="713" t="s">
        <v>544</v>
      </c>
      <c r="D128" s="631"/>
      <c r="E128" s="606"/>
      <c r="F128" s="613"/>
      <c r="G128" s="629"/>
      <c r="H128" s="581"/>
    </row>
    <row r="129" spans="2:8" ht="15.5">
      <c r="B129" s="617"/>
      <c r="C129" s="714" t="s">
        <v>531</v>
      </c>
      <c r="D129" s="631"/>
      <c r="E129" s="606" t="s">
        <v>520</v>
      </c>
      <c r="F129" s="613">
        <f>(4.725/6)*8</f>
        <v>6.3</v>
      </c>
      <c r="G129" s="629"/>
      <c r="H129" s="581"/>
    </row>
    <row r="130" spans="2:8">
      <c r="B130" s="617"/>
      <c r="C130" s="717" t="s">
        <v>532</v>
      </c>
      <c r="D130" s="631"/>
      <c r="E130" s="606" t="s">
        <v>533</v>
      </c>
      <c r="F130" s="613">
        <f>(462.8638518/6)*8</f>
        <v>617.15180240000007</v>
      </c>
      <c r="G130" s="629"/>
      <c r="H130" s="581"/>
    </row>
    <row r="131" spans="2:8" ht="15.5">
      <c r="B131" s="617"/>
      <c r="C131" s="719" t="s">
        <v>545</v>
      </c>
      <c r="D131" s="631"/>
      <c r="E131" s="606" t="s">
        <v>535</v>
      </c>
      <c r="F131" s="630">
        <f>(25.2/6)*8</f>
        <v>33.6</v>
      </c>
      <c r="G131" s="629"/>
      <c r="H131" s="581"/>
    </row>
    <row r="132" spans="2:8">
      <c r="B132" s="617"/>
      <c r="C132" s="719" t="s">
        <v>546</v>
      </c>
      <c r="D132" s="631"/>
      <c r="E132" s="606" t="s">
        <v>547</v>
      </c>
      <c r="F132" s="630">
        <f>(791.28/6)*8</f>
        <v>1055.04</v>
      </c>
      <c r="G132" s="629"/>
      <c r="H132" s="581"/>
    </row>
    <row r="133" spans="2:8">
      <c r="B133" s="617"/>
      <c r="C133" s="715"/>
      <c r="D133" s="631"/>
      <c r="E133" s="606"/>
      <c r="F133" s="630"/>
      <c r="G133" s="629"/>
      <c r="H133" s="581"/>
    </row>
    <row r="134" spans="2:8">
      <c r="B134" s="617">
        <v>3</v>
      </c>
      <c r="C134" s="713" t="s">
        <v>548</v>
      </c>
      <c r="D134" s="624"/>
      <c r="E134" s="606"/>
      <c r="F134" s="613"/>
      <c r="G134" s="629"/>
      <c r="H134" s="581"/>
    </row>
    <row r="135" spans="2:8" ht="15.5">
      <c r="B135" s="617"/>
      <c r="C135" s="714" t="s">
        <v>531</v>
      </c>
      <c r="D135" s="624"/>
      <c r="E135" s="606" t="s">
        <v>520</v>
      </c>
      <c r="F135" s="613">
        <v>11.340000000000002</v>
      </c>
      <c r="G135" s="629"/>
      <c r="H135" s="581"/>
    </row>
    <row r="136" spans="2:8">
      <c r="B136" s="617"/>
      <c r="C136" s="717" t="s">
        <v>532</v>
      </c>
      <c r="D136" s="624"/>
      <c r="E136" s="606" t="s">
        <v>533</v>
      </c>
      <c r="F136" s="613">
        <v>1025.9406779999997</v>
      </c>
      <c r="G136" s="629"/>
      <c r="H136" s="581"/>
    </row>
    <row r="137" spans="2:8" ht="15.5">
      <c r="B137" s="617"/>
      <c r="C137" s="719" t="s">
        <v>545</v>
      </c>
      <c r="D137" s="624"/>
      <c r="E137" s="606" t="s">
        <v>535</v>
      </c>
      <c r="F137" s="630">
        <v>50.4</v>
      </c>
      <c r="G137" s="629"/>
      <c r="H137" s="581"/>
    </row>
    <row r="138" spans="2:8">
      <c r="B138" s="617"/>
      <c r="C138" s="719" t="s">
        <v>546</v>
      </c>
      <c r="D138" s="624"/>
      <c r="E138" s="606" t="s">
        <v>547</v>
      </c>
      <c r="F138" s="630">
        <v>1004.8000000000001</v>
      </c>
      <c r="G138" s="629"/>
      <c r="H138" s="581"/>
    </row>
    <row r="139" spans="2:8">
      <c r="B139" s="617"/>
      <c r="C139" s="717"/>
      <c r="D139" s="624"/>
      <c r="E139" s="606"/>
      <c r="F139" s="630"/>
      <c r="G139" s="629"/>
      <c r="H139" s="581"/>
    </row>
    <row r="140" spans="2:8">
      <c r="B140" s="769" t="s">
        <v>549</v>
      </c>
      <c r="C140" s="772"/>
      <c r="D140" s="772"/>
      <c r="E140" s="772"/>
      <c r="F140" s="772"/>
      <c r="G140" s="773"/>
      <c r="H140" s="607">
        <f>SUM(H124:H139)</f>
        <v>0</v>
      </c>
    </row>
    <row r="141" spans="2:8">
      <c r="B141" s="617"/>
      <c r="C141" s="628"/>
      <c r="D141" s="624"/>
      <c r="E141" s="606"/>
      <c r="F141" s="630"/>
      <c r="G141" s="629"/>
      <c r="H141" s="581"/>
    </row>
    <row r="142" spans="2:8">
      <c r="B142" s="570" t="s">
        <v>550</v>
      </c>
      <c r="C142" s="571" t="s">
        <v>551</v>
      </c>
      <c r="D142" s="572"/>
      <c r="E142" s="573"/>
      <c r="F142" s="604"/>
      <c r="G142" s="575"/>
      <c r="H142" s="576"/>
    </row>
    <row r="143" spans="2:8">
      <c r="B143" s="617">
        <v>1</v>
      </c>
      <c r="C143" s="713" t="s">
        <v>552</v>
      </c>
      <c r="D143" s="624"/>
      <c r="E143" s="606"/>
      <c r="F143" s="613"/>
      <c r="G143" s="629"/>
      <c r="H143" s="581"/>
    </row>
    <row r="144" spans="2:8" ht="15.5">
      <c r="B144" s="617"/>
      <c r="C144" s="714" t="s">
        <v>531</v>
      </c>
      <c r="D144" s="624"/>
      <c r="E144" s="606" t="s">
        <v>520</v>
      </c>
      <c r="F144" s="613">
        <v>26.4</v>
      </c>
      <c r="G144" s="629"/>
      <c r="H144" s="581"/>
    </row>
    <row r="145" spans="2:8">
      <c r="B145" s="617"/>
      <c r="C145" s="717" t="s">
        <v>532</v>
      </c>
      <c r="D145" s="624"/>
      <c r="E145" s="606" t="s">
        <v>533</v>
      </c>
      <c r="F145" s="613">
        <v>953.86700199999996</v>
      </c>
      <c r="G145" s="629"/>
      <c r="H145" s="581"/>
    </row>
    <row r="146" spans="2:8" ht="15.5">
      <c r="B146" s="617"/>
      <c r="C146" s="719" t="s">
        <v>545</v>
      </c>
      <c r="D146" s="624"/>
      <c r="E146" s="606" t="s">
        <v>535</v>
      </c>
      <c r="F146" s="630">
        <v>140.80000000000001</v>
      </c>
      <c r="G146" s="629"/>
      <c r="H146" s="581"/>
    </row>
    <row r="147" spans="2:8">
      <c r="B147" s="617"/>
      <c r="C147" s="719" t="s">
        <v>553</v>
      </c>
      <c r="D147" s="624"/>
      <c r="E147" s="606" t="s">
        <v>11</v>
      </c>
      <c r="F147" s="630">
        <v>40</v>
      </c>
      <c r="G147" s="629"/>
      <c r="H147" s="581"/>
    </row>
    <row r="148" spans="2:8">
      <c r="B148" s="617"/>
      <c r="C148" s="719" t="s">
        <v>546</v>
      </c>
      <c r="D148" s="624"/>
      <c r="E148" s="606" t="s">
        <v>547</v>
      </c>
      <c r="F148" s="630">
        <v>401.92</v>
      </c>
      <c r="G148" s="629"/>
      <c r="H148" s="581"/>
    </row>
    <row r="149" spans="2:8">
      <c r="B149" s="617"/>
      <c r="C149" s="719"/>
      <c r="D149" s="624"/>
      <c r="E149" s="606"/>
      <c r="F149" s="630"/>
      <c r="G149" s="629"/>
      <c r="H149" s="581"/>
    </row>
    <row r="150" spans="2:8">
      <c r="B150" s="720">
        <v>2</v>
      </c>
      <c r="C150" s="721" t="s">
        <v>554</v>
      </c>
      <c r="D150" s="722"/>
      <c r="E150" s="606"/>
      <c r="F150" s="630"/>
      <c r="G150" s="629"/>
      <c r="H150" s="581"/>
    </row>
    <row r="151" spans="2:8">
      <c r="B151" s="720"/>
      <c r="C151" s="721" t="s">
        <v>555</v>
      </c>
      <c r="D151" s="722"/>
      <c r="E151" s="606" t="s">
        <v>556</v>
      </c>
      <c r="F151" s="630">
        <f>1.76+0.64</f>
        <v>2.4</v>
      </c>
      <c r="G151" s="629"/>
      <c r="H151" s="581"/>
    </row>
    <row r="152" spans="2:8">
      <c r="B152" s="720"/>
      <c r="C152" s="721" t="s">
        <v>557</v>
      </c>
      <c r="D152" s="722"/>
      <c r="E152" s="606" t="s">
        <v>533</v>
      </c>
      <c r="F152" s="630">
        <f>610.43+221.97</f>
        <v>832.4</v>
      </c>
      <c r="G152" s="629"/>
      <c r="H152" s="581"/>
    </row>
    <row r="153" spans="2:8">
      <c r="B153" s="720"/>
      <c r="C153" s="721" t="s">
        <v>558</v>
      </c>
      <c r="D153" s="722"/>
      <c r="E153" s="606" t="s">
        <v>486</v>
      </c>
      <c r="F153" s="630">
        <f>23.4+(2.64*8)</f>
        <v>44.519999999999996</v>
      </c>
      <c r="G153" s="629"/>
      <c r="H153" s="581"/>
    </row>
    <row r="154" spans="2:8">
      <c r="B154" s="617"/>
      <c r="C154" s="710"/>
      <c r="D154" s="624"/>
      <c r="E154" s="606"/>
      <c r="F154" s="613"/>
      <c r="G154" s="629"/>
      <c r="H154" s="581"/>
    </row>
    <row r="155" spans="2:8">
      <c r="B155" s="617">
        <v>3</v>
      </c>
      <c r="C155" s="713" t="s">
        <v>559</v>
      </c>
      <c r="D155" s="624"/>
      <c r="E155" s="606"/>
      <c r="F155" s="613"/>
      <c r="G155" s="629"/>
      <c r="H155" s="581"/>
    </row>
    <row r="156" spans="2:8">
      <c r="B156" s="617"/>
      <c r="C156" s="713" t="s">
        <v>560</v>
      </c>
      <c r="D156" s="624"/>
      <c r="E156" s="606" t="s">
        <v>556</v>
      </c>
      <c r="F156" s="613">
        <f>(J156)-(30*0.12)</f>
        <v>-3.5999999999999996</v>
      </c>
      <c r="G156" s="629"/>
      <c r="H156" s="581"/>
    </row>
    <row r="157" spans="2:8">
      <c r="B157" s="617"/>
      <c r="C157" s="713" t="s">
        <v>561</v>
      </c>
      <c r="D157" s="624"/>
      <c r="E157" s="606" t="s">
        <v>533</v>
      </c>
      <c r="F157" s="613">
        <f>(J157)-(8.51*30)</f>
        <v>-255.29999999999998</v>
      </c>
      <c r="G157" s="629"/>
      <c r="H157" s="581"/>
    </row>
    <row r="158" spans="2:8">
      <c r="B158" s="617"/>
      <c r="C158" s="713" t="s">
        <v>562</v>
      </c>
      <c r="D158" s="624"/>
      <c r="E158" s="606" t="s">
        <v>486</v>
      </c>
      <c r="F158" s="613">
        <f>J158-30</f>
        <v>-30</v>
      </c>
      <c r="G158" s="629"/>
      <c r="H158" s="581"/>
    </row>
    <row r="159" spans="2:8">
      <c r="B159" s="617"/>
      <c r="C159" s="713" t="s">
        <v>558</v>
      </c>
      <c r="D159" s="624"/>
      <c r="E159" s="606" t="s">
        <v>486</v>
      </c>
      <c r="F159" s="613">
        <v>195</v>
      </c>
      <c r="G159" s="629"/>
      <c r="H159" s="581"/>
    </row>
    <row r="160" spans="2:8">
      <c r="B160" s="617"/>
      <c r="C160" s="710"/>
      <c r="D160" s="624"/>
      <c r="E160" s="606"/>
      <c r="F160" s="613"/>
      <c r="G160" s="629"/>
      <c r="H160" s="581"/>
    </row>
    <row r="161" spans="2:8">
      <c r="B161" s="617">
        <v>4</v>
      </c>
      <c r="C161" s="713" t="s">
        <v>563</v>
      </c>
      <c r="D161" s="624"/>
      <c r="E161" s="606"/>
      <c r="F161" s="613"/>
      <c r="G161" s="629"/>
      <c r="H161" s="581"/>
    </row>
    <row r="162" spans="2:8">
      <c r="B162" s="617"/>
      <c r="C162" s="713" t="s">
        <v>564</v>
      </c>
      <c r="D162" s="624"/>
      <c r="E162" s="606" t="s">
        <v>533</v>
      </c>
      <c r="F162" s="613">
        <f>J162</f>
        <v>0</v>
      </c>
      <c r="G162" s="629"/>
      <c r="H162" s="581"/>
    </row>
    <row r="163" spans="2:8">
      <c r="B163" s="617"/>
      <c r="C163" s="713" t="s">
        <v>565</v>
      </c>
      <c r="D163" s="624"/>
      <c r="E163" s="606" t="s">
        <v>533</v>
      </c>
      <c r="F163" s="613">
        <f t="shared" ref="F163:F167" si="0">J163</f>
        <v>0</v>
      </c>
      <c r="G163" s="629"/>
      <c r="H163" s="581"/>
    </row>
    <row r="164" spans="2:8">
      <c r="B164" s="617"/>
      <c r="C164" s="713" t="s">
        <v>566</v>
      </c>
      <c r="D164" s="624"/>
      <c r="E164" s="606" t="s">
        <v>533</v>
      </c>
      <c r="F164" s="613">
        <f t="shared" si="0"/>
        <v>0</v>
      </c>
      <c r="G164" s="629"/>
      <c r="H164" s="581"/>
    </row>
    <row r="165" spans="2:8">
      <c r="B165" s="617"/>
      <c r="C165" s="713" t="s">
        <v>567</v>
      </c>
      <c r="D165" s="624"/>
      <c r="E165" s="606" t="s">
        <v>533</v>
      </c>
      <c r="F165" s="613">
        <f t="shared" si="0"/>
        <v>0</v>
      </c>
      <c r="G165" s="629"/>
      <c r="H165" s="581"/>
    </row>
    <row r="166" spans="2:8">
      <c r="B166" s="617"/>
      <c r="C166" s="713" t="s">
        <v>568</v>
      </c>
      <c r="D166" s="624"/>
      <c r="E166" s="606" t="s">
        <v>533</v>
      </c>
      <c r="F166" s="613">
        <f t="shared" si="0"/>
        <v>0</v>
      </c>
      <c r="G166" s="629"/>
      <c r="H166" s="581"/>
    </row>
    <row r="167" spans="2:8">
      <c r="B167" s="617"/>
      <c r="C167" s="713" t="s">
        <v>569</v>
      </c>
      <c r="D167" s="624"/>
      <c r="E167" s="606" t="s">
        <v>533</v>
      </c>
      <c r="F167" s="613">
        <f t="shared" si="0"/>
        <v>0</v>
      </c>
      <c r="G167" s="629"/>
      <c r="H167" s="581"/>
    </row>
    <row r="168" spans="2:8">
      <c r="B168" s="617"/>
      <c r="C168" s="713" t="s">
        <v>570</v>
      </c>
      <c r="D168" s="624"/>
      <c r="E168" s="606" t="s">
        <v>69</v>
      </c>
      <c r="F168" s="613">
        <v>424</v>
      </c>
      <c r="G168" s="629"/>
      <c r="H168" s="581"/>
    </row>
    <row r="169" spans="2:8">
      <c r="B169" s="617"/>
      <c r="C169" s="713" t="s">
        <v>571</v>
      </c>
      <c r="D169" s="624"/>
      <c r="E169" s="606" t="s">
        <v>69</v>
      </c>
      <c r="F169" s="613">
        <v>4854</v>
      </c>
      <c r="G169" s="629"/>
      <c r="H169" s="581"/>
    </row>
    <row r="170" spans="2:8">
      <c r="B170" s="617"/>
      <c r="C170" s="713" t="s">
        <v>572</v>
      </c>
      <c r="D170" s="624"/>
      <c r="E170" s="606" t="s">
        <v>69</v>
      </c>
      <c r="F170" s="613">
        <f>J170</f>
        <v>0</v>
      </c>
      <c r="G170" s="629"/>
      <c r="H170" s="581"/>
    </row>
    <row r="171" spans="2:8">
      <c r="B171" s="617"/>
      <c r="C171" s="713"/>
      <c r="D171" s="632"/>
      <c r="E171" s="606"/>
      <c r="F171" s="613"/>
      <c r="G171" s="629"/>
      <c r="H171" s="581"/>
    </row>
    <row r="172" spans="2:8">
      <c r="B172" s="531">
        <v>5</v>
      </c>
      <c r="C172" s="706" t="s">
        <v>573</v>
      </c>
      <c r="D172" s="577"/>
      <c r="E172" s="578"/>
      <c r="F172" s="579"/>
      <c r="G172" s="580"/>
      <c r="H172" s="581"/>
    </row>
    <row r="173" spans="2:8">
      <c r="B173" s="531"/>
      <c r="C173" s="707" t="s">
        <v>574</v>
      </c>
      <c r="D173" s="577"/>
      <c r="E173" s="578" t="s">
        <v>556</v>
      </c>
      <c r="F173" s="579">
        <f>((0.57*3)+(0.82*3))*2</f>
        <v>8.34</v>
      </c>
      <c r="G173" s="580"/>
      <c r="H173" s="581"/>
    </row>
    <row r="174" spans="2:8">
      <c r="B174" s="531"/>
      <c r="C174" s="707" t="s">
        <v>575</v>
      </c>
      <c r="D174" s="577"/>
      <c r="E174" s="578" t="s">
        <v>486</v>
      </c>
      <c r="F174" s="579">
        <f>44.78-10</f>
        <v>34.78</v>
      </c>
      <c r="G174" s="580"/>
      <c r="H174" s="581"/>
    </row>
    <row r="175" spans="2:8">
      <c r="B175" s="531"/>
      <c r="C175" s="707" t="s">
        <v>576</v>
      </c>
      <c r="D175" s="577"/>
      <c r="E175" s="578" t="s">
        <v>533</v>
      </c>
      <c r="F175" s="579">
        <f>F173*78</f>
        <v>650.52</v>
      </c>
      <c r="G175" s="580"/>
      <c r="H175" s="581"/>
    </row>
    <row r="176" spans="2:8">
      <c r="B176" s="531"/>
      <c r="C176" s="707"/>
      <c r="D176" s="577"/>
      <c r="E176" s="578"/>
      <c r="F176" s="579"/>
      <c r="G176" s="580"/>
      <c r="H176" s="581"/>
    </row>
    <row r="177" spans="2:8">
      <c r="B177" s="531">
        <v>6</v>
      </c>
      <c r="C177" s="706" t="s">
        <v>577</v>
      </c>
      <c r="D177" s="577"/>
      <c r="E177" s="578"/>
      <c r="F177" s="579"/>
      <c r="G177" s="580"/>
      <c r="H177" s="581"/>
    </row>
    <row r="178" spans="2:8">
      <c r="B178" s="531"/>
      <c r="C178" s="707" t="s">
        <v>574</v>
      </c>
      <c r="D178" s="577"/>
      <c r="E178" s="578" t="s">
        <v>556</v>
      </c>
      <c r="F178" s="579">
        <v>1.4</v>
      </c>
      <c r="G178" s="580"/>
      <c r="H178" s="581"/>
    </row>
    <row r="179" spans="2:8">
      <c r="B179" s="531"/>
      <c r="C179" s="707" t="s">
        <v>578</v>
      </c>
      <c r="D179" s="577"/>
      <c r="E179" s="578" t="s">
        <v>486</v>
      </c>
      <c r="F179" s="579">
        <v>14</v>
      </c>
      <c r="G179" s="580"/>
      <c r="H179" s="581"/>
    </row>
    <row r="180" spans="2:8">
      <c r="B180" s="531"/>
      <c r="C180" s="707" t="s">
        <v>576</v>
      </c>
      <c r="D180" s="577"/>
      <c r="E180" s="578" t="s">
        <v>533</v>
      </c>
      <c r="F180" s="579">
        <f>F178*78</f>
        <v>109.19999999999999</v>
      </c>
      <c r="G180" s="580"/>
      <c r="H180" s="581"/>
    </row>
    <row r="181" spans="2:8">
      <c r="B181" s="531"/>
      <c r="C181" s="707"/>
      <c r="D181" s="577"/>
      <c r="E181" s="578"/>
      <c r="F181" s="579"/>
      <c r="G181" s="580"/>
      <c r="H181" s="581"/>
    </row>
    <row r="182" spans="2:8">
      <c r="B182" s="531">
        <v>7</v>
      </c>
      <c r="C182" s="706" t="s">
        <v>579</v>
      </c>
      <c r="D182" s="577"/>
      <c r="E182" s="578"/>
      <c r="F182" s="579"/>
      <c r="G182" s="580"/>
      <c r="H182" s="581"/>
    </row>
    <row r="183" spans="2:8">
      <c r="B183" s="531"/>
      <c r="C183" s="707" t="s">
        <v>574</v>
      </c>
      <c r="D183" s="577"/>
      <c r="E183" s="578" t="s">
        <v>556</v>
      </c>
      <c r="F183" s="579">
        <f>((0.65*2)+(0.82*1))*2</f>
        <v>4.24</v>
      </c>
      <c r="G183" s="580"/>
      <c r="H183" s="581"/>
    </row>
    <row r="184" spans="2:8">
      <c r="B184" s="531"/>
      <c r="C184" s="707" t="s">
        <v>575</v>
      </c>
      <c r="D184" s="577"/>
      <c r="E184" s="578" t="s">
        <v>486</v>
      </c>
      <c r="F184" s="579">
        <f>44.78-15</f>
        <v>29.78</v>
      </c>
      <c r="G184" s="580"/>
      <c r="H184" s="581"/>
    </row>
    <row r="185" spans="2:8">
      <c r="B185" s="531"/>
      <c r="C185" s="707" t="s">
        <v>576</v>
      </c>
      <c r="D185" s="577"/>
      <c r="E185" s="578" t="s">
        <v>533</v>
      </c>
      <c r="F185" s="579">
        <f>F183*78</f>
        <v>330.72</v>
      </c>
      <c r="G185" s="580"/>
      <c r="H185" s="581"/>
    </row>
    <row r="186" spans="2:8">
      <c r="B186" s="531"/>
      <c r="C186" s="707"/>
      <c r="D186" s="577"/>
      <c r="E186" s="578"/>
      <c r="F186" s="579"/>
      <c r="G186" s="580"/>
      <c r="H186" s="581"/>
    </row>
    <row r="187" spans="2:8">
      <c r="B187" s="531">
        <v>8</v>
      </c>
      <c r="C187" s="706" t="s">
        <v>580</v>
      </c>
      <c r="D187" s="577"/>
      <c r="E187" s="578" t="s">
        <v>55</v>
      </c>
      <c r="F187" s="579">
        <v>2</v>
      </c>
      <c r="G187" s="580"/>
      <c r="H187" s="581"/>
    </row>
    <row r="188" spans="2:8">
      <c r="B188" s="531"/>
      <c r="C188" s="707" t="s">
        <v>581</v>
      </c>
      <c r="D188" s="577"/>
      <c r="E188" s="578"/>
      <c r="F188" s="579"/>
      <c r="G188" s="580"/>
      <c r="H188" s="581"/>
    </row>
    <row r="189" spans="2:8">
      <c r="B189" s="531"/>
      <c r="C189" s="707" t="s">
        <v>582</v>
      </c>
      <c r="D189" s="577"/>
      <c r="E189" s="578"/>
      <c r="F189" s="579"/>
      <c r="G189" s="580"/>
      <c r="H189" s="581"/>
    </row>
    <row r="190" spans="2:8">
      <c r="B190" s="531"/>
      <c r="C190" s="707" t="s">
        <v>583</v>
      </c>
      <c r="D190" s="577"/>
      <c r="E190" s="578"/>
      <c r="F190" s="579"/>
      <c r="G190" s="580"/>
      <c r="H190" s="581"/>
    </row>
    <row r="191" spans="2:8">
      <c r="B191" s="531"/>
      <c r="C191" s="707" t="s">
        <v>584</v>
      </c>
      <c r="D191" s="577"/>
      <c r="E191" s="578"/>
      <c r="F191" s="579"/>
      <c r="G191" s="580"/>
      <c r="H191" s="581"/>
    </row>
    <row r="192" spans="2:8">
      <c r="B192" s="617"/>
      <c r="C192" s="713"/>
      <c r="D192" s="624"/>
      <c r="E192" s="606"/>
      <c r="F192" s="633"/>
      <c r="G192" s="629"/>
      <c r="H192" s="581"/>
    </row>
    <row r="193" spans="1:9">
      <c r="B193" s="617">
        <v>9</v>
      </c>
      <c r="C193" s="634" t="s">
        <v>585</v>
      </c>
      <c r="D193" s="632"/>
      <c r="E193" s="723"/>
      <c r="F193" s="633"/>
      <c r="G193" s="635"/>
      <c r="H193" s="581"/>
    </row>
    <row r="194" spans="1:9">
      <c r="B194" s="617"/>
      <c r="C194" s="713" t="s">
        <v>574</v>
      </c>
      <c r="D194" s="724"/>
      <c r="E194" s="723" t="s">
        <v>556</v>
      </c>
      <c r="F194" s="725">
        <v>6.8</v>
      </c>
      <c r="G194" s="629"/>
      <c r="H194" s="581"/>
    </row>
    <row r="195" spans="1:9">
      <c r="B195" s="617"/>
      <c r="C195" s="636" t="s">
        <v>532</v>
      </c>
      <c r="D195" s="624"/>
      <c r="E195" s="637" t="s">
        <v>533</v>
      </c>
      <c r="F195" s="725">
        <v>340</v>
      </c>
      <c r="G195" s="629"/>
      <c r="H195" s="581"/>
    </row>
    <row r="196" spans="1:9">
      <c r="B196" s="638"/>
      <c r="C196" s="714" t="s">
        <v>586</v>
      </c>
      <c r="D196" s="632"/>
      <c r="E196" s="606" t="s">
        <v>486</v>
      </c>
      <c r="F196" s="639">
        <v>60</v>
      </c>
      <c r="G196" s="629"/>
      <c r="H196" s="581"/>
    </row>
    <row r="197" spans="1:9">
      <c r="B197" s="640"/>
      <c r="C197" s="641"/>
      <c r="D197" s="724"/>
      <c r="E197" s="642"/>
      <c r="F197" s="643"/>
      <c r="G197" s="644"/>
      <c r="H197" s="645"/>
    </row>
    <row r="198" spans="1:9">
      <c r="B198" s="769" t="s">
        <v>587</v>
      </c>
      <c r="C198" s="772"/>
      <c r="D198" s="772"/>
      <c r="E198" s="772"/>
      <c r="F198" s="772"/>
      <c r="G198" s="773"/>
      <c r="H198" s="607">
        <f>SUM(H144:H197)</f>
        <v>0</v>
      </c>
    </row>
    <row r="199" spans="1:9">
      <c r="B199" s="617"/>
      <c r="C199" s="615"/>
      <c r="D199" s="624"/>
      <c r="E199" s="606"/>
      <c r="F199" s="613"/>
      <c r="G199" s="629"/>
      <c r="H199" s="581"/>
    </row>
    <row r="200" spans="1:9">
      <c r="B200" s="570" t="s">
        <v>588</v>
      </c>
      <c r="C200" s="571" t="s">
        <v>589</v>
      </c>
      <c r="D200" s="572"/>
      <c r="E200" s="573"/>
      <c r="F200" s="604"/>
      <c r="G200" s="575"/>
      <c r="H200" s="576"/>
    </row>
    <row r="201" spans="1:9" ht="29.25" customHeight="1">
      <c r="B201" s="617">
        <v>1</v>
      </c>
      <c r="C201" s="774" t="s">
        <v>602</v>
      </c>
      <c r="D201" s="775"/>
      <c r="E201" s="646" t="s">
        <v>535</v>
      </c>
      <c r="F201" s="647">
        <f>811-52.56</f>
        <v>758.44</v>
      </c>
      <c r="G201" s="629"/>
      <c r="H201" s="581"/>
    </row>
    <row r="202" spans="1:9">
      <c r="B202" s="617"/>
      <c r="C202" s="648" t="s">
        <v>590</v>
      </c>
      <c r="D202" s="624"/>
      <c r="E202" s="646" t="s">
        <v>535</v>
      </c>
      <c r="F202" s="647">
        <f>(F201)+30</f>
        <v>788.44</v>
      </c>
      <c r="G202" s="629"/>
      <c r="H202" s="581"/>
    </row>
    <row r="203" spans="1:9">
      <c r="B203" s="617"/>
      <c r="C203" s="726" t="s">
        <v>603</v>
      </c>
      <c r="D203" s="727"/>
      <c r="E203" s="566" t="s">
        <v>486</v>
      </c>
      <c r="F203" s="728">
        <v>30</v>
      </c>
      <c r="G203" s="702"/>
      <c r="H203" s="703"/>
    </row>
    <row r="204" spans="1:9">
      <c r="A204" s="705"/>
      <c r="B204" s="769" t="s">
        <v>591</v>
      </c>
      <c r="C204" s="772"/>
      <c r="D204" s="772"/>
      <c r="E204" s="772"/>
      <c r="F204" s="772"/>
      <c r="G204" s="772"/>
      <c r="H204" s="607">
        <f>SUM(H201:H202)</f>
        <v>0</v>
      </c>
      <c r="I204" s="705"/>
    </row>
    <row r="205" spans="1:9" ht="28.5" customHeight="1">
      <c r="A205" s="705"/>
      <c r="B205" s="776" t="s">
        <v>592</v>
      </c>
      <c r="C205" s="777"/>
      <c r="D205" s="777"/>
      <c r="E205" s="777"/>
      <c r="F205" s="777"/>
      <c r="G205" s="777"/>
      <c r="H205" s="704">
        <f>SUM(H83,H140,H198,H120,H204)</f>
        <v>0</v>
      </c>
      <c r="I205" s="705"/>
    </row>
    <row r="206" spans="1:9">
      <c r="A206" s="705"/>
      <c r="B206" s="705"/>
      <c r="C206" s="705"/>
      <c r="D206" s="705"/>
      <c r="E206" s="705"/>
      <c r="F206" s="705"/>
      <c r="G206" s="705"/>
      <c r="H206" s="705"/>
      <c r="I206" s="705"/>
    </row>
    <row r="207" spans="1:9">
      <c r="A207" s="705"/>
      <c r="B207" s="705"/>
      <c r="C207" s="705"/>
      <c r="D207" s="705"/>
      <c r="E207" s="705"/>
      <c r="F207" s="705"/>
      <c r="G207" s="705"/>
      <c r="H207" s="705"/>
      <c r="I207" s="705"/>
    </row>
  </sheetData>
  <mergeCells count="18">
    <mergeCell ref="B198:G198"/>
    <mergeCell ref="C201:D201"/>
    <mergeCell ref="B204:G204"/>
    <mergeCell ref="B205:G205"/>
    <mergeCell ref="C59:D59"/>
    <mergeCell ref="B73:G73"/>
    <mergeCell ref="B75:G75"/>
    <mergeCell ref="B83:G83"/>
    <mergeCell ref="B120:G120"/>
    <mergeCell ref="B140:G140"/>
    <mergeCell ref="C54:D54"/>
    <mergeCell ref="B1:H1"/>
    <mergeCell ref="B2:H2"/>
    <mergeCell ref="B8:B10"/>
    <mergeCell ref="C8:D10"/>
    <mergeCell ref="E8:E10"/>
    <mergeCell ref="F8:F10"/>
    <mergeCell ref="B29:G2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1"/>
  <sheetViews>
    <sheetView showGridLines="0" view="pageBreakPreview" topLeftCell="A94" zoomScale="70" zoomScaleNormal="100" zoomScaleSheetLayoutView="70" workbookViewId="0">
      <selection activeCell="E7" sqref="E7"/>
    </sheetView>
  </sheetViews>
  <sheetFormatPr defaultRowHeight="14.5"/>
  <cols>
    <col min="1" max="1" width="4.54296875" style="5" customWidth="1"/>
    <col min="2" max="2" width="5.7265625" style="6" customWidth="1"/>
    <col min="3" max="3" width="7.7265625" style="6" customWidth="1"/>
    <col min="4" max="4" width="1.7265625" style="6" customWidth="1"/>
    <col min="5" max="5" width="55.7265625" style="6" customWidth="1"/>
    <col min="6" max="6" width="9.7265625" style="6" customWidth="1"/>
    <col min="7" max="7" width="8.7265625" style="6" customWidth="1"/>
    <col min="8" max="8" width="17.54296875" style="6" customWidth="1"/>
    <col min="9" max="9" width="19.26953125" style="6" customWidth="1"/>
    <col min="10" max="10" width="16.1796875" customWidth="1"/>
    <col min="11" max="19" width="0" hidden="1" customWidth="1"/>
    <col min="20" max="20" width="14.81640625" bestFit="1" customWidth="1"/>
  </cols>
  <sheetData>
    <row r="1" spans="1:9" ht="20.149999999999999" customHeight="1">
      <c r="B1" s="789" t="s">
        <v>604</v>
      </c>
      <c r="C1" s="789"/>
      <c r="D1" s="789"/>
      <c r="E1" s="789"/>
      <c r="F1" s="789"/>
      <c r="G1" s="789"/>
      <c r="H1" s="789"/>
      <c r="I1" s="789"/>
    </row>
    <row r="2" spans="1:9" ht="20.149999999999999" customHeight="1">
      <c r="B2" s="789" t="s">
        <v>605</v>
      </c>
      <c r="C2" s="789"/>
      <c r="D2" s="789"/>
      <c r="E2" s="789"/>
      <c r="F2" s="789"/>
      <c r="G2" s="789"/>
      <c r="H2" s="789"/>
      <c r="I2" s="789"/>
    </row>
    <row r="3" spans="1:9" ht="9" customHeight="1">
      <c r="B3" s="284"/>
      <c r="C3" s="284"/>
      <c r="D3" s="284"/>
      <c r="E3" s="284"/>
      <c r="F3" s="284"/>
      <c r="G3" s="284"/>
      <c r="H3" s="284"/>
      <c r="I3" s="284"/>
    </row>
    <row r="4" spans="1:9" ht="16" customHeight="1">
      <c r="B4" s="198" t="str">
        <f>'REKAP BOQ'!B4</f>
        <v>PEKERJAAN</v>
      </c>
      <c r="C4" s="198"/>
      <c r="D4" s="198"/>
      <c r="E4" s="699" t="s">
        <v>441</v>
      </c>
      <c r="F4" s="700"/>
      <c r="G4" s="700"/>
      <c r="H4" s="700"/>
    </row>
    <row r="5" spans="1:9" ht="16" customHeight="1">
      <c r="B5" s="198" t="str">
        <f>'REKAP BOQ'!B5</f>
        <v>LOKASI</v>
      </c>
      <c r="C5" s="198"/>
      <c r="D5" s="198"/>
      <c r="E5" s="699" t="s">
        <v>595</v>
      </c>
      <c r="F5" s="700"/>
      <c r="G5" s="700"/>
      <c r="H5" s="700"/>
    </row>
    <row r="6" spans="1:9" ht="16" customHeight="1">
      <c r="B6" s="198" t="str">
        <f>'REKAP BOQ'!B6</f>
        <v>TAHUN</v>
      </c>
      <c r="C6" s="198"/>
      <c r="D6" s="198"/>
      <c r="E6" s="701" t="s">
        <v>608</v>
      </c>
      <c r="F6" s="700"/>
      <c r="G6" s="700"/>
      <c r="H6" s="700"/>
    </row>
    <row r="7" spans="1:9" ht="9" customHeight="1">
      <c r="B7" s="198"/>
      <c r="C7" s="198"/>
      <c r="D7" s="198"/>
      <c r="E7" s="199"/>
    </row>
    <row r="8" spans="1:9" ht="18" customHeight="1">
      <c r="B8" s="495" t="s">
        <v>440</v>
      </c>
      <c r="C8" s="496" t="s">
        <v>425</v>
      </c>
    </row>
    <row r="9" spans="1:9" ht="18" customHeight="1">
      <c r="A9" s="123"/>
      <c r="B9" s="781" t="s">
        <v>0</v>
      </c>
      <c r="C9" s="783" t="s">
        <v>1</v>
      </c>
      <c r="D9" s="784"/>
      <c r="E9" s="785"/>
      <c r="F9" s="781" t="s">
        <v>419</v>
      </c>
      <c r="G9" s="781" t="s">
        <v>421</v>
      </c>
      <c r="H9" s="275" t="s">
        <v>409</v>
      </c>
      <c r="I9" s="275" t="s">
        <v>3</v>
      </c>
    </row>
    <row r="10" spans="1:9" ht="18" customHeight="1">
      <c r="A10" s="123"/>
      <c r="B10" s="782"/>
      <c r="C10" s="786"/>
      <c r="D10" s="787"/>
      <c r="E10" s="788"/>
      <c r="F10" s="782"/>
      <c r="G10" s="782"/>
      <c r="H10" s="276" t="s">
        <v>422</v>
      </c>
      <c r="I10" s="276" t="s">
        <v>4</v>
      </c>
    </row>
    <row r="11" spans="1:9" ht="4" customHeight="1">
      <c r="B11" s="124"/>
      <c r="C11" s="125"/>
      <c r="D11" s="193"/>
      <c r="E11" s="126"/>
      <c r="F11" s="127"/>
      <c r="G11" s="127"/>
      <c r="H11" s="128"/>
      <c r="I11" s="128"/>
    </row>
    <row r="12" spans="1:9" ht="3" customHeight="1">
      <c r="B12" s="129"/>
      <c r="C12" s="130"/>
      <c r="D12" s="194"/>
      <c r="E12" s="131"/>
      <c r="F12" s="132"/>
      <c r="G12" s="129"/>
      <c r="H12" s="133"/>
      <c r="I12" s="133"/>
    </row>
    <row r="13" spans="1:9" ht="18" customHeight="1">
      <c r="B13" s="175" t="s">
        <v>25</v>
      </c>
      <c r="C13" s="176"/>
      <c r="D13" s="177" t="s">
        <v>427</v>
      </c>
      <c r="E13" s="201"/>
      <c r="F13" s="178"/>
      <c r="G13" s="175"/>
      <c r="H13" s="179"/>
      <c r="I13" s="179"/>
    </row>
    <row r="14" spans="1:9" ht="18" customHeight="1">
      <c r="B14" s="129"/>
      <c r="C14" s="134"/>
      <c r="D14" s="135" t="s">
        <v>82</v>
      </c>
      <c r="E14" s="202"/>
      <c r="F14" s="132"/>
      <c r="G14" s="136"/>
      <c r="H14" s="137"/>
      <c r="I14" s="133"/>
    </row>
    <row r="15" spans="1:9" ht="18" customHeight="1">
      <c r="B15" s="129"/>
      <c r="C15" s="130" t="s">
        <v>6</v>
      </c>
      <c r="D15" s="131" t="s">
        <v>72</v>
      </c>
      <c r="E15" s="202"/>
      <c r="F15" s="272">
        <v>1</v>
      </c>
      <c r="G15" s="136" t="s">
        <v>5</v>
      </c>
      <c r="H15" s="398"/>
      <c r="I15" s="399"/>
    </row>
    <row r="16" spans="1:9" ht="18" customHeight="1">
      <c r="B16" s="129"/>
      <c r="C16" s="130" t="s">
        <v>6</v>
      </c>
      <c r="D16" s="131" t="s">
        <v>50</v>
      </c>
      <c r="E16" s="202"/>
      <c r="F16" s="272">
        <v>1</v>
      </c>
      <c r="G16" s="136" t="s">
        <v>5</v>
      </c>
      <c r="H16" s="398"/>
      <c r="I16" s="399"/>
    </row>
    <row r="17" spans="2:10" ht="18" customHeight="1">
      <c r="B17" s="129"/>
      <c r="C17" s="130" t="s">
        <v>6</v>
      </c>
      <c r="D17" s="138" t="s">
        <v>81</v>
      </c>
      <c r="E17" s="202"/>
      <c r="F17" s="272">
        <v>1</v>
      </c>
      <c r="G17" s="136" t="s">
        <v>5</v>
      </c>
      <c r="H17" s="398"/>
      <c r="I17" s="399"/>
    </row>
    <row r="18" spans="2:10" ht="18" customHeight="1">
      <c r="B18" s="129"/>
      <c r="C18" s="130" t="s">
        <v>6</v>
      </c>
      <c r="D18" s="131" t="s">
        <v>38</v>
      </c>
      <c r="E18" s="202"/>
      <c r="F18" s="272">
        <v>6</v>
      </c>
      <c r="G18" s="136" t="s">
        <v>5</v>
      </c>
      <c r="H18" s="398"/>
      <c r="I18" s="399"/>
    </row>
    <row r="19" spans="2:10" ht="18" customHeight="1">
      <c r="B19" s="129"/>
      <c r="C19" s="130" t="s">
        <v>6</v>
      </c>
      <c r="D19" s="131" t="s">
        <v>66</v>
      </c>
      <c r="E19" s="202"/>
      <c r="F19" s="272">
        <v>6</v>
      </c>
      <c r="G19" s="136" t="s">
        <v>13</v>
      </c>
      <c r="H19" s="398"/>
      <c r="I19" s="399"/>
    </row>
    <row r="20" spans="2:10" ht="18" customHeight="1">
      <c r="B20" s="129"/>
      <c r="C20" s="130" t="s">
        <v>6</v>
      </c>
      <c r="D20" s="131" t="s">
        <v>39</v>
      </c>
      <c r="E20" s="202"/>
      <c r="F20" s="272">
        <v>6</v>
      </c>
      <c r="G20" s="136" t="s">
        <v>13</v>
      </c>
      <c r="H20" s="398"/>
      <c r="I20" s="399"/>
    </row>
    <row r="21" spans="2:10" ht="18" customHeight="1">
      <c r="B21" s="129"/>
      <c r="C21" s="130" t="s">
        <v>6</v>
      </c>
      <c r="D21" s="131" t="s">
        <v>76</v>
      </c>
      <c r="E21" s="202"/>
      <c r="F21" s="272">
        <v>3</v>
      </c>
      <c r="G21" s="136" t="s">
        <v>13</v>
      </c>
      <c r="H21" s="398"/>
      <c r="I21" s="399"/>
    </row>
    <row r="22" spans="2:10" ht="18" customHeight="1">
      <c r="B22" s="129"/>
      <c r="C22" s="130" t="s">
        <v>6</v>
      </c>
      <c r="D22" s="131" t="s">
        <v>62</v>
      </c>
      <c r="E22" s="202"/>
      <c r="F22" s="272">
        <v>1</v>
      </c>
      <c r="G22" s="136" t="s">
        <v>13</v>
      </c>
      <c r="H22" s="398"/>
      <c r="I22" s="399"/>
    </row>
    <row r="23" spans="2:10" ht="18" customHeight="1">
      <c r="B23" s="129"/>
      <c r="C23" s="130" t="s">
        <v>6</v>
      </c>
      <c r="D23" s="131" t="s">
        <v>77</v>
      </c>
      <c r="E23" s="202"/>
      <c r="F23" s="272">
        <v>1</v>
      </c>
      <c r="G23" s="136" t="s">
        <v>13</v>
      </c>
      <c r="H23" s="398"/>
      <c r="I23" s="399"/>
    </row>
    <row r="24" spans="2:10" ht="18" customHeight="1">
      <c r="B24" s="129"/>
      <c r="C24" s="130" t="s">
        <v>6</v>
      </c>
      <c r="D24" s="131" t="s">
        <v>78</v>
      </c>
      <c r="E24" s="202"/>
      <c r="F24" s="272">
        <v>3</v>
      </c>
      <c r="G24" s="136" t="s">
        <v>13</v>
      </c>
      <c r="H24" s="398"/>
      <c r="I24" s="399"/>
    </row>
    <row r="25" spans="2:10" ht="18" customHeight="1">
      <c r="B25" s="129"/>
      <c r="C25" s="130" t="s">
        <v>6</v>
      </c>
      <c r="D25" s="131" t="s">
        <v>40</v>
      </c>
      <c r="E25" s="202"/>
      <c r="F25" s="272">
        <v>4</v>
      </c>
      <c r="G25" s="136" t="s">
        <v>7</v>
      </c>
      <c r="H25" s="398"/>
      <c r="I25" s="399"/>
    </row>
    <row r="26" spans="2:10" ht="18" customHeight="1">
      <c r="B26" s="158"/>
      <c r="C26" s="159" t="s">
        <v>6</v>
      </c>
      <c r="D26" s="160" t="s">
        <v>83</v>
      </c>
      <c r="E26" s="203"/>
      <c r="F26" s="272">
        <v>1</v>
      </c>
      <c r="G26" s="204" t="s">
        <v>8</v>
      </c>
      <c r="H26" s="400"/>
      <c r="I26" s="399"/>
    </row>
    <row r="27" spans="2:10" ht="18" customHeight="1">
      <c r="B27" s="169"/>
      <c r="C27" s="170"/>
      <c r="D27" s="196"/>
      <c r="E27" s="171"/>
      <c r="F27" s="172"/>
      <c r="G27" s="173"/>
      <c r="H27" s="401"/>
      <c r="I27" s="402">
        <f>SUM(I15:I26)</f>
        <v>0</v>
      </c>
      <c r="J27" s="385"/>
    </row>
    <row r="28" spans="2:10" ht="18" customHeight="1">
      <c r="B28" s="129"/>
      <c r="C28" s="134"/>
      <c r="D28" s="135" t="s">
        <v>84</v>
      </c>
      <c r="E28" s="202"/>
      <c r="F28" s="132"/>
      <c r="G28" s="136"/>
      <c r="H28" s="398"/>
      <c r="I28" s="403"/>
    </row>
    <row r="29" spans="2:10" ht="18" customHeight="1">
      <c r="B29" s="129"/>
      <c r="C29" s="130" t="s">
        <v>6</v>
      </c>
      <c r="D29" s="138" t="s">
        <v>72</v>
      </c>
      <c r="E29" s="202"/>
      <c r="F29" s="272">
        <v>1</v>
      </c>
      <c r="G29" s="136" t="s">
        <v>5</v>
      </c>
      <c r="H29" s="398"/>
      <c r="I29" s="399"/>
    </row>
    <row r="30" spans="2:10" ht="18" customHeight="1">
      <c r="B30" s="129"/>
      <c r="C30" s="130" t="s">
        <v>6</v>
      </c>
      <c r="D30" s="131" t="s">
        <v>73</v>
      </c>
      <c r="E30" s="202"/>
      <c r="F30" s="272">
        <v>1</v>
      </c>
      <c r="G30" s="136" t="s">
        <v>5</v>
      </c>
      <c r="H30" s="398"/>
      <c r="I30" s="399"/>
    </row>
    <row r="31" spans="2:10" ht="18" customHeight="1">
      <c r="B31" s="129"/>
      <c r="C31" s="130" t="s">
        <v>6</v>
      </c>
      <c r="D31" s="131" t="s">
        <v>38</v>
      </c>
      <c r="E31" s="202"/>
      <c r="F31" s="272">
        <v>6</v>
      </c>
      <c r="G31" s="136" t="s">
        <v>5</v>
      </c>
      <c r="H31" s="398"/>
      <c r="I31" s="399"/>
    </row>
    <row r="32" spans="2:10" ht="18" customHeight="1">
      <c r="B32" s="129"/>
      <c r="C32" s="130" t="s">
        <v>6</v>
      </c>
      <c r="D32" s="131" t="s">
        <v>66</v>
      </c>
      <c r="E32" s="202"/>
      <c r="F32" s="272">
        <v>10</v>
      </c>
      <c r="G32" s="136" t="s">
        <v>13</v>
      </c>
      <c r="H32" s="398"/>
      <c r="I32" s="399"/>
    </row>
    <row r="33" spans="2:20" ht="18" customHeight="1">
      <c r="B33" s="129"/>
      <c r="C33" s="130" t="s">
        <v>6</v>
      </c>
      <c r="D33" s="131" t="s">
        <v>39</v>
      </c>
      <c r="E33" s="202"/>
      <c r="F33" s="272">
        <v>3</v>
      </c>
      <c r="G33" s="136" t="s">
        <v>13</v>
      </c>
      <c r="H33" s="398"/>
      <c r="I33" s="399"/>
    </row>
    <row r="34" spans="2:20" ht="18" customHeight="1">
      <c r="B34" s="129"/>
      <c r="C34" s="130" t="s">
        <v>6</v>
      </c>
      <c r="D34" s="131" t="s">
        <v>76</v>
      </c>
      <c r="E34" s="202"/>
      <c r="F34" s="272">
        <v>3</v>
      </c>
      <c r="G34" s="136" t="s">
        <v>13</v>
      </c>
      <c r="H34" s="398"/>
      <c r="I34" s="399"/>
    </row>
    <row r="35" spans="2:20" ht="18" customHeight="1">
      <c r="B35" s="129"/>
      <c r="C35" s="130" t="s">
        <v>6</v>
      </c>
      <c r="D35" s="131" t="s">
        <v>77</v>
      </c>
      <c r="E35" s="202"/>
      <c r="F35" s="272">
        <v>1</v>
      </c>
      <c r="G35" s="136" t="s">
        <v>13</v>
      </c>
      <c r="H35" s="398"/>
      <c r="I35" s="399"/>
    </row>
    <row r="36" spans="2:20" ht="18" customHeight="1">
      <c r="B36" s="129"/>
      <c r="C36" s="130" t="s">
        <v>6</v>
      </c>
      <c r="D36" s="131" t="s">
        <v>62</v>
      </c>
      <c r="E36" s="202"/>
      <c r="F36" s="272">
        <v>1</v>
      </c>
      <c r="G36" s="136" t="s">
        <v>13</v>
      </c>
      <c r="H36" s="398"/>
      <c r="I36" s="399"/>
    </row>
    <row r="37" spans="2:20" ht="18" customHeight="1">
      <c r="B37" s="129"/>
      <c r="C37" s="130" t="s">
        <v>6</v>
      </c>
      <c r="D37" s="131" t="s">
        <v>78</v>
      </c>
      <c r="E37" s="202"/>
      <c r="F37" s="272">
        <v>1</v>
      </c>
      <c r="G37" s="136" t="s">
        <v>13</v>
      </c>
      <c r="H37" s="398"/>
      <c r="I37" s="399"/>
    </row>
    <row r="38" spans="2:20" ht="18" customHeight="1">
      <c r="B38" s="129"/>
      <c r="C38" s="130" t="s">
        <v>6</v>
      </c>
      <c r="D38" s="131" t="s">
        <v>40</v>
      </c>
      <c r="E38" s="202"/>
      <c r="F38" s="272">
        <v>3</v>
      </c>
      <c r="G38" s="136" t="s">
        <v>7</v>
      </c>
      <c r="H38" s="398"/>
      <c r="I38" s="399"/>
    </row>
    <row r="39" spans="2:20" ht="18" customHeight="1">
      <c r="B39" s="158"/>
      <c r="C39" s="159" t="s">
        <v>6</v>
      </c>
      <c r="D39" s="160" t="s">
        <v>51</v>
      </c>
      <c r="E39" s="203"/>
      <c r="F39" s="272">
        <v>1</v>
      </c>
      <c r="G39" s="204" t="s">
        <v>8</v>
      </c>
      <c r="H39" s="400"/>
      <c r="I39" s="399"/>
    </row>
    <row r="40" spans="2:20" ht="18" customHeight="1">
      <c r="B40" s="169"/>
      <c r="C40" s="170"/>
      <c r="D40" s="196"/>
      <c r="E40" s="171"/>
      <c r="F40" s="172"/>
      <c r="G40" s="173"/>
      <c r="H40" s="401"/>
      <c r="I40" s="402">
        <f>SUM(I29:I39)</f>
        <v>0</v>
      </c>
    </row>
    <row r="41" spans="2:20" ht="18" customHeight="1">
      <c r="B41" s="124"/>
      <c r="C41" s="205"/>
      <c r="D41" s="206" t="s">
        <v>85</v>
      </c>
      <c r="E41" s="207"/>
      <c r="F41" s="127"/>
      <c r="G41" s="208"/>
      <c r="H41" s="404"/>
      <c r="I41" s="405"/>
    </row>
    <row r="42" spans="2:20" ht="18" customHeight="1">
      <c r="B42" s="129"/>
      <c r="C42" s="130" t="s">
        <v>6</v>
      </c>
      <c r="D42" s="138" t="s">
        <v>61</v>
      </c>
      <c r="E42" s="202"/>
      <c r="F42" s="272">
        <v>1</v>
      </c>
      <c r="G42" s="136" t="s">
        <v>5</v>
      </c>
      <c r="H42" s="398"/>
      <c r="I42" s="399"/>
    </row>
    <row r="43" spans="2:20" ht="18" customHeight="1">
      <c r="B43" s="129"/>
      <c r="C43" s="130" t="s">
        <v>6</v>
      </c>
      <c r="D43" s="131" t="s">
        <v>77</v>
      </c>
      <c r="E43" s="202"/>
      <c r="F43" s="272">
        <v>1</v>
      </c>
      <c r="G43" s="136" t="s">
        <v>5</v>
      </c>
      <c r="H43" s="398"/>
      <c r="I43" s="399"/>
    </row>
    <row r="44" spans="2:20" ht="18" customHeight="1">
      <c r="B44" s="129"/>
      <c r="C44" s="130" t="s">
        <v>6</v>
      </c>
      <c r="D44" s="131" t="s">
        <v>74</v>
      </c>
      <c r="E44" s="202"/>
      <c r="F44" s="272">
        <v>1</v>
      </c>
      <c r="G44" s="136" t="s">
        <v>5</v>
      </c>
      <c r="H44" s="398"/>
      <c r="I44" s="399"/>
    </row>
    <row r="45" spans="2:20" ht="18" customHeight="1">
      <c r="B45" s="129"/>
      <c r="C45" s="130" t="s">
        <v>6</v>
      </c>
      <c r="D45" s="131" t="s">
        <v>40</v>
      </c>
      <c r="E45" s="202"/>
      <c r="F45" s="272">
        <v>3</v>
      </c>
      <c r="G45" s="136" t="s">
        <v>7</v>
      </c>
      <c r="H45" s="398"/>
      <c r="I45" s="399"/>
    </row>
    <row r="46" spans="2:20" ht="18" customHeight="1">
      <c r="B46" s="129"/>
      <c r="C46" s="130" t="s">
        <v>6</v>
      </c>
      <c r="D46" s="131" t="s">
        <v>76</v>
      </c>
      <c r="E46" s="202"/>
      <c r="F46" s="272">
        <v>3</v>
      </c>
      <c r="G46" s="136" t="s">
        <v>13</v>
      </c>
      <c r="H46" s="398"/>
      <c r="I46" s="399"/>
    </row>
    <row r="47" spans="2:20" ht="18" customHeight="1">
      <c r="B47" s="129"/>
      <c r="C47" s="130" t="s">
        <v>6</v>
      </c>
      <c r="D47" s="131" t="s">
        <v>77</v>
      </c>
      <c r="E47" s="202"/>
      <c r="F47" s="272">
        <v>1</v>
      </c>
      <c r="G47" s="136" t="s">
        <v>13</v>
      </c>
      <c r="H47" s="398"/>
      <c r="I47" s="399"/>
    </row>
    <row r="48" spans="2:20" ht="18" customHeight="1">
      <c r="B48" s="129"/>
      <c r="C48" s="130" t="s">
        <v>6</v>
      </c>
      <c r="D48" s="131" t="s">
        <v>62</v>
      </c>
      <c r="E48" s="202"/>
      <c r="F48" s="272">
        <v>1</v>
      </c>
      <c r="G48" s="136" t="s">
        <v>13</v>
      </c>
      <c r="H48" s="398"/>
      <c r="I48" s="399"/>
      <c r="T48" s="386"/>
    </row>
    <row r="49" spans="2:9" ht="18" customHeight="1">
      <c r="B49" s="129"/>
      <c r="C49" s="130" t="s">
        <v>6</v>
      </c>
      <c r="D49" s="131" t="s">
        <v>78</v>
      </c>
      <c r="E49" s="202"/>
      <c r="F49" s="272">
        <v>3</v>
      </c>
      <c r="G49" s="136" t="s">
        <v>7</v>
      </c>
      <c r="H49" s="398"/>
      <c r="I49" s="399"/>
    </row>
    <row r="50" spans="2:9" ht="18" customHeight="1">
      <c r="B50" s="158"/>
      <c r="C50" s="159" t="s">
        <v>6</v>
      </c>
      <c r="D50" s="160" t="s">
        <v>51</v>
      </c>
      <c r="E50" s="203"/>
      <c r="F50" s="272">
        <v>1</v>
      </c>
      <c r="G50" s="204" t="s">
        <v>8</v>
      </c>
      <c r="H50" s="400"/>
      <c r="I50" s="399"/>
    </row>
    <row r="51" spans="2:9" ht="18" customHeight="1">
      <c r="B51" s="389"/>
      <c r="C51" s="390"/>
      <c r="D51" s="391"/>
      <c r="E51" s="392"/>
      <c r="F51" s="393"/>
      <c r="G51" s="394"/>
      <c r="H51" s="406"/>
      <c r="I51" s="402">
        <f>SUM(I42:I50)</f>
        <v>0</v>
      </c>
    </row>
    <row r="52" spans="2:9" ht="18" customHeight="1">
      <c r="B52" s="326"/>
      <c r="C52" s="395"/>
      <c r="D52" s="395"/>
      <c r="E52" s="396"/>
      <c r="F52" s="395"/>
      <c r="G52" s="397"/>
      <c r="H52" s="456" t="s">
        <v>447</v>
      </c>
      <c r="I52" s="415">
        <f>I27+I40+I51</f>
        <v>0</v>
      </c>
    </row>
    <row r="53" spans="2:9" ht="18" customHeight="1">
      <c r="B53" s="182"/>
      <c r="C53" s="183"/>
      <c r="D53" s="197"/>
      <c r="E53" s="166"/>
      <c r="F53" s="167"/>
      <c r="G53" s="182"/>
      <c r="H53" s="407"/>
      <c r="I53" s="407"/>
    </row>
    <row r="54" spans="2:9" ht="18" customHeight="1">
      <c r="B54" s="175" t="s">
        <v>26</v>
      </c>
      <c r="C54" s="176"/>
      <c r="D54" s="177" t="s">
        <v>428</v>
      </c>
      <c r="E54" s="201"/>
      <c r="F54" s="178"/>
      <c r="G54" s="175"/>
      <c r="H54" s="408"/>
      <c r="I54" s="408"/>
    </row>
    <row r="55" spans="2:9" ht="18" customHeight="1">
      <c r="B55" s="129"/>
      <c r="C55" s="130"/>
      <c r="D55" s="138" t="s">
        <v>52</v>
      </c>
      <c r="E55" s="202"/>
      <c r="F55" s="132"/>
      <c r="G55" s="136"/>
      <c r="H55" s="398"/>
      <c r="I55" s="403"/>
    </row>
    <row r="56" spans="2:9" ht="18" customHeight="1">
      <c r="B56" s="129"/>
      <c r="C56" s="130" t="s">
        <v>6</v>
      </c>
      <c r="D56" s="131" t="s">
        <v>86</v>
      </c>
      <c r="E56" s="202"/>
      <c r="F56" s="272">
        <v>28</v>
      </c>
      <c r="G56" s="136" t="s">
        <v>7</v>
      </c>
      <c r="H56" s="398"/>
      <c r="I56" s="399"/>
    </row>
    <row r="57" spans="2:9" ht="18" customHeight="1">
      <c r="B57" s="161"/>
      <c r="C57" s="162" t="s">
        <v>6</v>
      </c>
      <c r="D57" s="163" t="s">
        <v>87</v>
      </c>
      <c r="E57" s="329"/>
      <c r="F57" s="304">
        <v>28</v>
      </c>
      <c r="G57" s="165" t="s">
        <v>7</v>
      </c>
      <c r="H57" s="409"/>
      <c r="I57" s="410"/>
    </row>
    <row r="58" spans="2:9" ht="18" customHeight="1">
      <c r="B58" s="328"/>
      <c r="C58" s="331" t="s">
        <v>6</v>
      </c>
      <c r="D58" s="330" t="s">
        <v>88</v>
      </c>
      <c r="E58" s="283"/>
      <c r="F58" s="332">
        <v>28</v>
      </c>
      <c r="G58" s="333" t="s">
        <v>7</v>
      </c>
      <c r="H58" s="411"/>
      <c r="I58" s="412"/>
    </row>
    <row r="59" spans="2:9" ht="18" customHeight="1">
      <c r="B59" s="129"/>
      <c r="C59" s="130" t="s">
        <v>6</v>
      </c>
      <c r="D59" s="131" t="s">
        <v>89</v>
      </c>
      <c r="E59" s="202"/>
      <c r="F59" s="272">
        <v>72</v>
      </c>
      <c r="G59" s="136" t="s">
        <v>7</v>
      </c>
      <c r="H59" s="398"/>
      <c r="I59" s="399"/>
    </row>
    <row r="60" spans="2:9" ht="18" customHeight="1">
      <c r="B60" s="129"/>
      <c r="C60" s="130" t="s">
        <v>6</v>
      </c>
      <c r="D60" s="209" t="s">
        <v>90</v>
      </c>
      <c r="E60" s="210"/>
      <c r="F60" s="272">
        <v>94</v>
      </c>
      <c r="G60" s="136" t="s">
        <v>7</v>
      </c>
      <c r="H60" s="398"/>
      <c r="I60" s="399"/>
    </row>
    <row r="61" spans="2:9" ht="18" customHeight="1">
      <c r="B61" s="161"/>
      <c r="C61" s="162"/>
      <c r="D61" s="457"/>
      <c r="E61" s="458"/>
      <c r="F61" s="164"/>
      <c r="G61" s="165"/>
      <c r="H61" s="409"/>
      <c r="I61" s="399"/>
    </row>
    <row r="62" spans="2:9" ht="18" customHeight="1">
      <c r="B62" s="326"/>
      <c r="C62" s="395"/>
      <c r="D62" s="395"/>
      <c r="E62" s="396"/>
      <c r="F62" s="395"/>
      <c r="G62" s="397"/>
      <c r="H62" s="456" t="s">
        <v>448</v>
      </c>
      <c r="I62" s="455">
        <f>SUM(I56:I61)</f>
        <v>0</v>
      </c>
    </row>
    <row r="63" spans="2:9" s="1" customFormat="1" ht="18" customHeight="1">
      <c r="B63" s="459"/>
      <c r="C63" s="460"/>
      <c r="D63" s="460"/>
      <c r="E63" s="461"/>
      <c r="F63" s="462"/>
      <c r="G63" s="463"/>
      <c r="H63" s="464"/>
      <c r="I63" s="413"/>
    </row>
    <row r="64" spans="2:9" ht="18" customHeight="1">
      <c r="B64" s="277" t="s">
        <v>27</v>
      </c>
      <c r="C64" s="278"/>
      <c r="D64" s="279" t="s">
        <v>429</v>
      </c>
      <c r="E64" s="280"/>
      <c r="F64" s="281"/>
      <c r="G64" s="277"/>
      <c r="H64" s="414"/>
      <c r="I64" s="414"/>
    </row>
    <row r="65" spans="2:9" ht="18" customHeight="1">
      <c r="B65" s="129"/>
      <c r="C65" s="202"/>
      <c r="D65" s="337" t="s">
        <v>91</v>
      </c>
      <c r="E65" s="202"/>
      <c r="F65" s="136"/>
      <c r="G65" s="129"/>
      <c r="H65" s="403"/>
      <c r="I65" s="403"/>
    </row>
    <row r="66" spans="2:9" ht="18" customHeight="1">
      <c r="B66" s="129"/>
      <c r="C66" s="140" t="s">
        <v>6</v>
      </c>
      <c r="D66" s="131" t="s">
        <v>75</v>
      </c>
      <c r="E66" s="202"/>
      <c r="F66" s="272">
        <v>64</v>
      </c>
      <c r="G66" s="136" t="s">
        <v>7</v>
      </c>
      <c r="H66" s="398"/>
      <c r="I66" s="399"/>
    </row>
    <row r="67" spans="2:9" ht="18" customHeight="1">
      <c r="B67" s="161"/>
      <c r="C67" s="302" t="s">
        <v>6</v>
      </c>
      <c r="D67" s="163" t="s">
        <v>56</v>
      </c>
      <c r="E67" s="303"/>
      <c r="F67" s="304">
        <v>4</v>
      </c>
      <c r="G67" s="165" t="s">
        <v>13</v>
      </c>
      <c r="H67" s="409"/>
      <c r="I67" s="410"/>
    </row>
    <row r="68" spans="2:9" ht="18" customHeight="1">
      <c r="B68" s="326"/>
      <c r="C68" s="465"/>
      <c r="D68" s="465"/>
      <c r="E68" s="396"/>
      <c r="F68" s="395"/>
      <c r="G68" s="466"/>
      <c r="H68" s="456" t="s">
        <v>449</v>
      </c>
      <c r="I68" s="455">
        <f>SUM(I66:I67)</f>
        <v>0</v>
      </c>
    </row>
    <row r="69" spans="2:9" s="2" customFormat="1" ht="18" customHeight="1">
      <c r="B69" s="305"/>
      <c r="C69" s="306"/>
      <c r="D69" s="307"/>
      <c r="E69" s="282"/>
      <c r="F69" s="308"/>
      <c r="G69" s="305"/>
      <c r="H69" s="416"/>
      <c r="I69" s="416"/>
    </row>
    <row r="70" spans="2:9" ht="18" customHeight="1">
      <c r="B70" s="175" t="s">
        <v>28</v>
      </c>
      <c r="C70" s="176"/>
      <c r="D70" s="177" t="s">
        <v>430</v>
      </c>
      <c r="E70" s="201"/>
      <c r="F70" s="178"/>
      <c r="G70" s="175"/>
      <c r="H70" s="408"/>
      <c r="I70" s="408"/>
    </row>
    <row r="71" spans="2:9" ht="18" customHeight="1">
      <c r="B71" s="129"/>
      <c r="C71" s="130"/>
      <c r="D71" s="131" t="s">
        <v>10</v>
      </c>
      <c r="E71" s="202"/>
      <c r="F71" s="132"/>
      <c r="G71" s="129"/>
      <c r="H71" s="403"/>
      <c r="I71" s="403"/>
    </row>
    <row r="72" spans="2:9" ht="18" customHeight="1">
      <c r="B72" s="129"/>
      <c r="C72" s="130" t="s">
        <v>6</v>
      </c>
      <c r="D72" s="131" t="s">
        <v>14</v>
      </c>
      <c r="E72" s="202"/>
      <c r="F72" s="272">
        <v>142</v>
      </c>
      <c r="G72" s="136" t="s">
        <v>11</v>
      </c>
      <c r="H72" s="398"/>
      <c r="I72" s="399"/>
    </row>
    <row r="73" spans="2:9" ht="18" customHeight="1">
      <c r="B73" s="129"/>
      <c r="C73" s="130" t="s">
        <v>6</v>
      </c>
      <c r="D73" s="141" t="s">
        <v>12</v>
      </c>
      <c r="E73" s="202"/>
      <c r="F73" s="272">
        <v>22</v>
      </c>
      <c r="G73" s="136" t="s">
        <v>11</v>
      </c>
      <c r="H73" s="398"/>
      <c r="I73" s="399"/>
    </row>
    <row r="74" spans="2:9" ht="18" customHeight="1">
      <c r="B74" s="129"/>
      <c r="C74" s="130" t="s">
        <v>6</v>
      </c>
      <c r="D74" s="141" t="s">
        <v>99</v>
      </c>
      <c r="E74" s="202"/>
      <c r="F74" s="272">
        <v>12</v>
      </c>
      <c r="G74" s="136" t="s">
        <v>55</v>
      </c>
      <c r="H74" s="398"/>
      <c r="I74" s="399"/>
    </row>
    <row r="75" spans="2:9" ht="18" customHeight="1">
      <c r="B75" s="129"/>
      <c r="C75" s="130" t="s">
        <v>6</v>
      </c>
      <c r="D75" s="131" t="s">
        <v>92</v>
      </c>
      <c r="E75" s="202"/>
      <c r="F75" s="272">
        <v>245</v>
      </c>
      <c r="G75" s="136" t="s">
        <v>93</v>
      </c>
      <c r="H75" s="398"/>
      <c r="I75" s="399"/>
    </row>
    <row r="76" spans="2:9" ht="18" customHeight="1">
      <c r="B76" s="129"/>
      <c r="C76" s="130" t="s">
        <v>6</v>
      </c>
      <c r="D76" s="131" t="s">
        <v>53</v>
      </c>
      <c r="E76" s="202"/>
      <c r="F76" s="272">
        <v>4</v>
      </c>
      <c r="G76" s="136" t="s">
        <v>13</v>
      </c>
      <c r="H76" s="398"/>
      <c r="I76" s="399"/>
    </row>
    <row r="77" spans="2:9" ht="18" customHeight="1">
      <c r="B77" s="129"/>
      <c r="C77" s="130" t="s">
        <v>6</v>
      </c>
      <c r="D77" s="131" t="s">
        <v>95</v>
      </c>
      <c r="E77" s="202"/>
      <c r="F77" s="272">
        <v>48</v>
      </c>
      <c r="G77" s="136" t="s">
        <v>13</v>
      </c>
      <c r="H77" s="398"/>
      <c r="I77" s="399"/>
    </row>
    <row r="78" spans="2:9" ht="18" customHeight="1">
      <c r="B78" s="129"/>
      <c r="C78" s="130" t="s">
        <v>6</v>
      </c>
      <c r="D78" s="131" t="s">
        <v>79</v>
      </c>
      <c r="E78" s="202"/>
      <c r="F78" s="272">
        <v>4</v>
      </c>
      <c r="G78" s="136" t="s">
        <v>9</v>
      </c>
      <c r="H78" s="398"/>
      <c r="I78" s="399"/>
    </row>
    <row r="79" spans="2:9" ht="18" customHeight="1">
      <c r="B79" s="129"/>
      <c r="C79" s="130" t="s">
        <v>6</v>
      </c>
      <c r="D79" s="138" t="s">
        <v>43</v>
      </c>
      <c r="E79" s="202"/>
      <c r="F79" s="272">
        <v>12</v>
      </c>
      <c r="G79" s="136" t="s">
        <v>13</v>
      </c>
      <c r="H79" s="398"/>
      <c r="I79" s="399"/>
    </row>
    <row r="80" spans="2:9" ht="18" customHeight="1">
      <c r="B80" s="129"/>
      <c r="C80" s="130" t="s">
        <v>6</v>
      </c>
      <c r="D80" s="138" t="s">
        <v>42</v>
      </c>
      <c r="E80" s="202"/>
      <c r="F80" s="272">
        <v>3</v>
      </c>
      <c r="G80" s="136" t="s">
        <v>100</v>
      </c>
      <c r="H80" s="398"/>
      <c r="I80" s="399"/>
    </row>
    <row r="81" spans="2:9" ht="18" customHeight="1">
      <c r="B81" s="129"/>
      <c r="C81" s="130" t="s">
        <v>6</v>
      </c>
      <c r="D81" s="138" t="s">
        <v>97</v>
      </c>
      <c r="E81" s="202"/>
      <c r="F81" s="272">
        <v>4</v>
      </c>
      <c r="G81" s="136" t="s">
        <v>9</v>
      </c>
      <c r="H81" s="398"/>
      <c r="I81" s="399"/>
    </row>
    <row r="82" spans="2:9" ht="18" customHeight="1">
      <c r="B82" s="129"/>
      <c r="C82" s="130" t="s">
        <v>6</v>
      </c>
      <c r="D82" s="131" t="s">
        <v>16</v>
      </c>
      <c r="E82" s="202"/>
      <c r="F82" s="272">
        <v>8</v>
      </c>
      <c r="G82" s="136" t="s">
        <v>13</v>
      </c>
      <c r="H82" s="398"/>
      <c r="I82" s="399"/>
    </row>
    <row r="83" spans="2:9" ht="18" customHeight="1">
      <c r="B83" s="129"/>
      <c r="C83" s="130" t="s">
        <v>6</v>
      </c>
      <c r="D83" s="131" t="s">
        <v>96</v>
      </c>
      <c r="E83" s="202"/>
      <c r="F83" s="272">
        <v>3</v>
      </c>
      <c r="G83" s="136" t="s">
        <v>9</v>
      </c>
      <c r="H83" s="398"/>
      <c r="I83" s="399"/>
    </row>
    <row r="84" spans="2:9" ht="18" customHeight="1">
      <c r="B84" s="161"/>
      <c r="C84" s="162"/>
      <c r="D84" s="195"/>
      <c r="E84" s="163"/>
      <c r="F84" s="164"/>
      <c r="G84" s="165"/>
      <c r="H84" s="409"/>
      <c r="I84" s="417"/>
    </row>
    <row r="85" spans="2:9" ht="18" customHeight="1">
      <c r="B85" s="326"/>
      <c r="C85" s="395"/>
      <c r="D85" s="395"/>
      <c r="E85" s="396"/>
      <c r="F85" s="395"/>
      <c r="G85" s="397"/>
      <c r="H85" s="456" t="s">
        <v>450</v>
      </c>
      <c r="I85" s="455">
        <f>SUM(I72:I84)</f>
        <v>0</v>
      </c>
    </row>
    <row r="86" spans="2:9" ht="18" customHeight="1">
      <c r="B86" s="182"/>
      <c r="C86" s="183"/>
      <c r="D86" s="197"/>
      <c r="E86" s="166"/>
      <c r="F86" s="167"/>
      <c r="G86" s="182"/>
      <c r="H86" s="407"/>
      <c r="I86" s="405"/>
    </row>
    <row r="87" spans="2:9" ht="18" customHeight="1">
      <c r="B87" s="175" t="s">
        <v>29</v>
      </c>
      <c r="C87" s="176"/>
      <c r="D87" s="177" t="s">
        <v>426</v>
      </c>
      <c r="E87" s="201"/>
      <c r="F87" s="178"/>
      <c r="G87" s="175"/>
      <c r="H87" s="408"/>
      <c r="I87" s="408"/>
    </row>
    <row r="88" spans="2:9" ht="18" customHeight="1">
      <c r="B88" s="129"/>
      <c r="C88" s="130" t="s">
        <v>6</v>
      </c>
      <c r="D88" s="131" t="s">
        <v>14</v>
      </c>
      <c r="E88" s="202"/>
      <c r="F88" s="272">
        <v>24</v>
      </c>
      <c r="G88" s="136" t="s">
        <v>11</v>
      </c>
      <c r="H88" s="398"/>
      <c r="I88" s="399"/>
    </row>
    <row r="89" spans="2:9" ht="18" customHeight="1">
      <c r="B89" s="129"/>
      <c r="C89" s="130" t="s">
        <v>6</v>
      </c>
      <c r="D89" s="141" t="s">
        <v>12</v>
      </c>
      <c r="E89" s="202"/>
      <c r="F89" s="272">
        <v>2</v>
      </c>
      <c r="G89" s="136" t="s">
        <v>11</v>
      </c>
      <c r="H89" s="398"/>
      <c r="I89" s="399"/>
    </row>
    <row r="90" spans="2:9" ht="18" customHeight="1">
      <c r="B90" s="129"/>
      <c r="C90" s="130" t="s">
        <v>6</v>
      </c>
      <c r="D90" s="138" t="s">
        <v>80</v>
      </c>
      <c r="E90" s="202"/>
      <c r="F90" s="272">
        <v>8</v>
      </c>
      <c r="G90" s="136" t="s">
        <v>9</v>
      </c>
      <c r="H90" s="398"/>
      <c r="I90" s="399"/>
    </row>
    <row r="91" spans="2:9" ht="18" customHeight="1">
      <c r="B91" s="129"/>
      <c r="C91" s="130" t="s">
        <v>6</v>
      </c>
      <c r="D91" s="131" t="s">
        <v>15</v>
      </c>
      <c r="E91" s="202"/>
      <c r="F91" s="272">
        <v>4</v>
      </c>
      <c r="G91" s="136" t="s">
        <v>13</v>
      </c>
      <c r="H91" s="398"/>
      <c r="I91" s="399"/>
    </row>
    <row r="92" spans="2:9" ht="18" customHeight="1">
      <c r="B92" s="161"/>
      <c r="C92" s="162" t="s">
        <v>6</v>
      </c>
      <c r="D92" s="163" t="s">
        <v>16</v>
      </c>
      <c r="E92" s="303"/>
      <c r="F92" s="304">
        <v>2</v>
      </c>
      <c r="G92" s="165" t="s">
        <v>13</v>
      </c>
      <c r="H92" s="409"/>
      <c r="I92" s="399"/>
    </row>
    <row r="93" spans="2:9" ht="18" customHeight="1">
      <c r="B93" s="326"/>
      <c r="C93" s="395"/>
      <c r="D93" s="395"/>
      <c r="E93" s="396"/>
      <c r="F93" s="395"/>
      <c r="G93" s="397"/>
      <c r="H93" s="456" t="s">
        <v>451</v>
      </c>
      <c r="I93" s="455">
        <f>SUM(I88:I92)</f>
        <v>0</v>
      </c>
    </row>
    <row r="94" spans="2:9" s="1" customFormat="1" ht="18" customHeight="1">
      <c r="B94" s="182"/>
      <c r="C94" s="306"/>
      <c r="D94" s="307"/>
      <c r="E94" s="282"/>
      <c r="F94" s="168"/>
      <c r="G94" s="168"/>
      <c r="H94" s="467"/>
      <c r="I94" s="405"/>
    </row>
    <row r="95" spans="2:9" ht="18" customHeight="1">
      <c r="B95" s="175" t="s">
        <v>54</v>
      </c>
      <c r="C95" s="176"/>
      <c r="D95" s="177" t="s">
        <v>431</v>
      </c>
      <c r="E95" s="201"/>
      <c r="F95" s="178"/>
      <c r="G95" s="175"/>
      <c r="H95" s="408"/>
      <c r="I95" s="408"/>
    </row>
    <row r="96" spans="2:9" ht="18" customHeight="1">
      <c r="B96" s="129"/>
      <c r="C96" s="130"/>
      <c r="D96" s="139" t="s">
        <v>18</v>
      </c>
      <c r="E96" s="202"/>
      <c r="F96" s="136"/>
      <c r="G96" s="136"/>
      <c r="H96" s="399"/>
      <c r="I96" s="403"/>
    </row>
    <row r="97" spans="2:9" ht="18" customHeight="1">
      <c r="B97" s="129"/>
      <c r="C97" s="130" t="s">
        <v>6</v>
      </c>
      <c r="D97" s="139" t="s">
        <v>57</v>
      </c>
      <c r="E97" s="202"/>
      <c r="F97" s="272">
        <v>9</v>
      </c>
      <c r="G97" s="136" t="s">
        <v>11</v>
      </c>
      <c r="H97" s="418"/>
      <c r="I97" s="399"/>
    </row>
    <row r="98" spans="2:9" ht="18" customHeight="1">
      <c r="B98" s="129"/>
      <c r="C98" s="130" t="s">
        <v>6</v>
      </c>
      <c r="D98" s="142" t="s">
        <v>67</v>
      </c>
      <c r="E98" s="202"/>
      <c r="F98" s="272">
        <v>1</v>
      </c>
      <c r="G98" s="136" t="s">
        <v>8</v>
      </c>
      <c r="H98" s="418"/>
      <c r="I98" s="399"/>
    </row>
    <row r="99" spans="2:9" ht="18" customHeight="1">
      <c r="B99" s="129"/>
      <c r="C99" s="130"/>
      <c r="D99" s="142" t="s">
        <v>68</v>
      </c>
      <c r="E99" s="202"/>
      <c r="F99" s="272">
        <v>1</v>
      </c>
      <c r="G99" s="136" t="s">
        <v>8</v>
      </c>
      <c r="H99" s="418"/>
      <c r="I99" s="399"/>
    </row>
    <row r="100" spans="2:9" ht="18" customHeight="1">
      <c r="B100" s="161"/>
      <c r="C100" s="162" t="s">
        <v>6</v>
      </c>
      <c r="D100" s="468" t="s">
        <v>49</v>
      </c>
      <c r="E100" s="303"/>
      <c r="F100" s="304">
        <v>2</v>
      </c>
      <c r="G100" s="165" t="s">
        <v>5</v>
      </c>
      <c r="H100" s="409"/>
      <c r="I100" s="399"/>
    </row>
    <row r="101" spans="2:9" ht="18" customHeight="1">
      <c r="B101" s="326"/>
      <c r="C101" s="395"/>
      <c r="D101" s="395"/>
      <c r="E101" s="396"/>
      <c r="F101" s="395"/>
      <c r="G101" s="397"/>
      <c r="H101" s="456" t="s">
        <v>452</v>
      </c>
      <c r="I101" s="455">
        <f>SUM(I97:I100)</f>
        <v>0</v>
      </c>
    </row>
    <row r="102" spans="2:9" ht="18" customHeight="1">
      <c r="B102" s="182"/>
      <c r="C102" s="183"/>
      <c r="D102" s="197"/>
      <c r="E102" s="282"/>
      <c r="F102" s="168"/>
      <c r="G102" s="168"/>
      <c r="H102" s="469"/>
      <c r="I102" s="403"/>
    </row>
    <row r="103" spans="2:9" ht="18" customHeight="1">
      <c r="B103" s="175" t="s">
        <v>30</v>
      </c>
      <c r="C103" s="176"/>
      <c r="D103" s="177" t="s">
        <v>454</v>
      </c>
      <c r="E103" s="201"/>
      <c r="F103" s="178"/>
      <c r="G103" s="175"/>
      <c r="H103" s="408"/>
      <c r="I103" s="408"/>
    </row>
    <row r="104" spans="2:9" ht="18" customHeight="1">
      <c r="B104" s="129"/>
      <c r="C104" s="130"/>
      <c r="D104" s="139" t="s">
        <v>18</v>
      </c>
      <c r="E104" s="202"/>
      <c r="F104" s="136"/>
      <c r="G104" s="136"/>
      <c r="H104" s="399"/>
      <c r="I104" s="403"/>
    </row>
    <row r="105" spans="2:9" ht="18" customHeight="1">
      <c r="B105" s="129"/>
      <c r="C105" s="130" t="s">
        <v>6</v>
      </c>
      <c r="D105" s="142" t="s">
        <v>58</v>
      </c>
      <c r="E105" s="202"/>
      <c r="F105" s="272">
        <v>19</v>
      </c>
      <c r="G105" s="136" t="s">
        <v>11</v>
      </c>
      <c r="H105" s="418"/>
      <c r="I105" s="399"/>
    </row>
    <row r="106" spans="2:9" ht="18" customHeight="1">
      <c r="B106" s="129"/>
      <c r="C106" s="130" t="s">
        <v>6</v>
      </c>
      <c r="D106" s="142" t="s">
        <v>71</v>
      </c>
      <c r="E106" s="202"/>
      <c r="F106" s="272">
        <v>2</v>
      </c>
      <c r="G106" s="136" t="s">
        <v>5</v>
      </c>
      <c r="H106" s="418"/>
      <c r="I106" s="399"/>
    </row>
    <row r="107" spans="2:9" ht="18" customHeight="1">
      <c r="B107" s="129"/>
      <c r="C107" s="130" t="s">
        <v>6</v>
      </c>
      <c r="D107" s="142" t="s">
        <v>44</v>
      </c>
      <c r="E107" s="202"/>
      <c r="F107" s="272">
        <v>5</v>
      </c>
      <c r="G107" s="136" t="s">
        <v>5</v>
      </c>
      <c r="H107" s="418"/>
      <c r="I107" s="399"/>
    </row>
    <row r="108" spans="2:9" ht="18" customHeight="1">
      <c r="B108" s="129"/>
      <c r="C108" s="130" t="s">
        <v>6</v>
      </c>
      <c r="D108" s="142" t="s">
        <v>45</v>
      </c>
      <c r="E108" s="202"/>
      <c r="F108" s="272">
        <v>14</v>
      </c>
      <c r="G108" s="136" t="s">
        <v>5</v>
      </c>
      <c r="H108" s="418"/>
      <c r="I108" s="399"/>
    </row>
    <row r="109" spans="2:9" ht="18" customHeight="1">
      <c r="B109" s="129"/>
      <c r="C109" s="143" t="s">
        <v>6</v>
      </c>
      <c r="D109" s="144" t="s">
        <v>46</v>
      </c>
      <c r="E109" s="202"/>
      <c r="F109" s="272">
        <v>1</v>
      </c>
      <c r="G109" s="136" t="s">
        <v>5</v>
      </c>
      <c r="H109" s="398"/>
      <c r="I109" s="399"/>
    </row>
    <row r="110" spans="2:9" ht="18" customHeight="1">
      <c r="B110" s="328"/>
      <c r="C110" s="334" t="s">
        <v>6</v>
      </c>
      <c r="D110" s="335" t="s">
        <v>47</v>
      </c>
      <c r="E110" s="329"/>
      <c r="F110" s="332">
        <v>2</v>
      </c>
      <c r="G110" s="333" t="s">
        <v>5</v>
      </c>
      <c r="H110" s="409"/>
      <c r="I110" s="412"/>
    </row>
    <row r="111" spans="2:9" ht="18" customHeight="1">
      <c r="B111" s="305"/>
      <c r="C111" s="331" t="s">
        <v>6</v>
      </c>
      <c r="D111" s="336" t="s">
        <v>48</v>
      </c>
      <c r="E111" s="283"/>
      <c r="F111" s="327">
        <v>1</v>
      </c>
      <c r="G111" s="308" t="s">
        <v>5</v>
      </c>
      <c r="H111" s="411"/>
      <c r="I111" s="419"/>
    </row>
    <row r="112" spans="2:9" ht="18" customHeight="1">
      <c r="B112" s="161"/>
      <c r="C112" s="162"/>
      <c r="D112" s="195"/>
      <c r="E112" s="470"/>
      <c r="F112" s="165"/>
      <c r="G112" s="165"/>
      <c r="H112" s="410"/>
      <c r="I112" s="403"/>
    </row>
    <row r="113" spans="2:18" s="1" customFormat="1" ht="18" customHeight="1">
      <c r="B113" s="326"/>
      <c r="C113" s="395"/>
      <c r="D113" s="395"/>
      <c r="E113" s="396"/>
      <c r="F113" s="395"/>
      <c r="G113" s="397"/>
      <c r="H113" s="456" t="s">
        <v>453</v>
      </c>
      <c r="I113" s="455">
        <f>SUM(I105:I112)</f>
        <v>0</v>
      </c>
    </row>
    <row r="114" spans="2:18" ht="18" customHeight="1">
      <c r="B114" s="182"/>
      <c r="C114" s="183"/>
      <c r="D114" s="197"/>
      <c r="E114" s="282"/>
      <c r="F114" s="168"/>
      <c r="G114" s="168"/>
      <c r="H114" s="467"/>
      <c r="I114" s="403"/>
    </row>
    <row r="115" spans="2:18" ht="18" customHeight="1">
      <c r="B115" s="175" t="s">
        <v>341</v>
      </c>
      <c r="C115" s="176"/>
      <c r="D115" s="177" t="s">
        <v>432</v>
      </c>
      <c r="E115" s="201"/>
      <c r="F115" s="178"/>
      <c r="G115" s="175"/>
      <c r="H115" s="408"/>
      <c r="I115" s="408"/>
    </row>
    <row r="116" spans="2:18" ht="18" customHeight="1">
      <c r="B116" s="129"/>
      <c r="C116" s="130"/>
      <c r="D116" s="139" t="s">
        <v>18</v>
      </c>
      <c r="E116" s="202"/>
      <c r="F116" s="136"/>
      <c r="G116" s="136"/>
      <c r="H116" s="399"/>
      <c r="I116" s="403"/>
    </row>
    <row r="117" spans="2:18" ht="18" customHeight="1">
      <c r="B117" s="129"/>
      <c r="C117" s="130" t="s">
        <v>6</v>
      </c>
      <c r="D117" s="139" t="s">
        <v>19</v>
      </c>
      <c r="E117" s="202"/>
      <c r="F117" s="272">
        <v>18</v>
      </c>
      <c r="G117" s="136" t="s">
        <v>11</v>
      </c>
      <c r="H117" s="418"/>
      <c r="I117" s="399"/>
    </row>
    <row r="118" spans="2:18" ht="18" customHeight="1">
      <c r="B118" s="129"/>
      <c r="C118" s="130" t="s">
        <v>6</v>
      </c>
      <c r="D118" s="139" t="s">
        <v>59</v>
      </c>
      <c r="E118" s="202"/>
      <c r="F118" s="272">
        <v>38</v>
      </c>
      <c r="G118" s="136" t="s">
        <v>7</v>
      </c>
      <c r="H118" s="398"/>
      <c r="I118" s="399"/>
    </row>
    <row r="119" spans="2:18" ht="18" customHeight="1">
      <c r="B119" s="129"/>
      <c r="C119" s="130" t="s">
        <v>6</v>
      </c>
      <c r="D119" s="139" t="s">
        <v>20</v>
      </c>
      <c r="E119" s="202"/>
      <c r="F119" s="272">
        <v>18</v>
      </c>
      <c r="G119" s="136" t="s">
        <v>13</v>
      </c>
      <c r="H119" s="398"/>
      <c r="I119" s="399"/>
    </row>
    <row r="120" spans="2:18" ht="18" customHeight="1">
      <c r="B120" s="129"/>
      <c r="C120" s="130" t="s">
        <v>6</v>
      </c>
      <c r="D120" s="139" t="s">
        <v>21</v>
      </c>
      <c r="E120" s="202"/>
      <c r="F120" s="272">
        <v>4</v>
      </c>
      <c r="G120" s="136" t="s">
        <v>13</v>
      </c>
      <c r="H120" s="398"/>
      <c r="I120" s="399"/>
    </row>
    <row r="121" spans="2:18" ht="18" customHeight="1">
      <c r="B121" s="161"/>
      <c r="C121" s="331" t="s">
        <v>6</v>
      </c>
      <c r="D121" s="366" t="s">
        <v>24</v>
      </c>
      <c r="E121" s="365"/>
      <c r="F121" s="304">
        <v>4</v>
      </c>
      <c r="G121" s="165" t="s">
        <v>13</v>
      </c>
      <c r="H121" s="409"/>
      <c r="I121" s="399"/>
    </row>
    <row r="122" spans="2:18" ht="18" customHeight="1">
      <c r="B122" s="328"/>
      <c r="C122" s="183" t="s">
        <v>6</v>
      </c>
      <c r="D122" s="367" t="s">
        <v>22</v>
      </c>
      <c r="E122" s="329"/>
      <c r="F122" s="332">
        <v>4</v>
      </c>
      <c r="G122" s="333" t="s">
        <v>13</v>
      </c>
      <c r="H122" s="411"/>
      <c r="I122" s="399"/>
    </row>
    <row r="123" spans="2:18" ht="18" customHeight="1">
      <c r="B123" s="129"/>
      <c r="C123" s="130" t="s">
        <v>6</v>
      </c>
      <c r="D123" s="139" t="s">
        <v>70</v>
      </c>
      <c r="E123" s="202"/>
      <c r="F123" s="272">
        <v>1</v>
      </c>
      <c r="G123" s="136" t="s">
        <v>5</v>
      </c>
      <c r="H123" s="398"/>
      <c r="I123" s="399"/>
    </row>
    <row r="124" spans="2:18" ht="18" customHeight="1">
      <c r="B124" s="129"/>
      <c r="C124" s="130" t="s">
        <v>6</v>
      </c>
      <c r="D124" s="139" t="s">
        <v>23</v>
      </c>
      <c r="E124" s="202"/>
      <c r="F124" s="272">
        <v>1</v>
      </c>
      <c r="G124" s="136" t="s">
        <v>5</v>
      </c>
      <c r="H124" s="399"/>
      <c r="I124" s="399"/>
    </row>
    <row r="125" spans="2:18" ht="18" customHeight="1">
      <c r="B125" s="161"/>
      <c r="C125" s="162"/>
      <c r="D125" s="366"/>
      <c r="E125" s="458"/>
      <c r="F125" s="165"/>
      <c r="G125" s="165"/>
      <c r="H125" s="410"/>
      <c r="I125" s="420"/>
    </row>
    <row r="126" spans="2:18" s="3" customFormat="1" ht="18" customHeight="1">
      <c r="B126" s="326"/>
      <c r="C126" s="395"/>
      <c r="D126" s="395"/>
      <c r="E126" s="396"/>
      <c r="F126" s="395"/>
      <c r="G126" s="397"/>
      <c r="H126" s="456" t="s">
        <v>455</v>
      </c>
      <c r="I126" s="455">
        <f>SUM(I117:I125)</f>
        <v>0</v>
      </c>
    </row>
    <row r="127" spans="2:18" ht="18" customHeight="1">
      <c r="B127" s="182"/>
      <c r="C127" s="183"/>
      <c r="D127" s="197"/>
      <c r="E127" s="282"/>
      <c r="F127" s="168"/>
      <c r="G127" s="168"/>
      <c r="H127" s="467"/>
      <c r="I127" s="403"/>
    </row>
    <row r="128" spans="2:18" ht="18" customHeight="1">
      <c r="B128" s="211" t="s">
        <v>31</v>
      </c>
      <c r="C128" s="212"/>
      <c r="D128" s="213" t="s">
        <v>433</v>
      </c>
      <c r="E128" s="200"/>
      <c r="F128" s="214"/>
      <c r="G128" s="211"/>
      <c r="H128" s="421"/>
      <c r="I128" s="421"/>
      <c r="K128" s="146"/>
      <c r="L128" s="147" t="s">
        <v>6</v>
      </c>
      <c r="M128" s="148" t="e">
        <f>#REF!</f>
        <v>#REF!</v>
      </c>
      <c r="N128" s="149">
        <v>1</v>
      </c>
      <c r="O128" s="149" t="s">
        <v>5</v>
      </c>
      <c r="P128" s="150" t="e">
        <f>#REF!</f>
        <v>#REF!</v>
      </c>
      <c r="Q128" s="150"/>
      <c r="R128" s="151"/>
    </row>
    <row r="129" spans="2:18" ht="18" customHeight="1">
      <c r="B129" s="129"/>
      <c r="C129" s="130"/>
      <c r="D129" s="139" t="s">
        <v>18</v>
      </c>
      <c r="E129" s="202"/>
      <c r="F129" s="136"/>
      <c r="G129" s="136"/>
      <c r="H129" s="399"/>
      <c r="I129" s="403"/>
      <c r="K129" s="146"/>
      <c r="L129" s="147" t="s">
        <v>6</v>
      </c>
      <c r="M129" s="148" t="e">
        <f>#REF!</f>
        <v>#REF!</v>
      </c>
      <c r="N129" s="149">
        <v>18</v>
      </c>
      <c r="O129" s="149" t="s">
        <v>5</v>
      </c>
      <c r="P129" s="150" t="e">
        <f>#REF!</f>
        <v>#REF!</v>
      </c>
      <c r="Q129" s="150"/>
      <c r="R129" s="151"/>
    </row>
    <row r="130" spans="2:18" ht="18" customHeight="1">
      <c r="B130" s="161"/>
      <c r="C130" s="162" t="s">
        <v>6</v>
      </c>
      <c r="D130" s="470" t="s">
        <v>34</v>
      </c>
      <c r="E130" s="303"/>
      <c r="F130" s="304">
        <v>12</v>
      </c>
      <c r="G130" s="165" t="s">
        <v>11</v>
      </c>
      <c r="H130" s="471"/>
      <c r="I130" s="403"/>
    </row>
    <row r="131" spans="2:18" s="1" customFormat="1" ht="18" customHeight="1">
      <c r="B131" s="326"/>
      <c r="C131" s="395"/>
      <c r="D131" s="395"/>
      <c r="E131" s="396"/>
      <c r="F131" s="395"/>
      <c r="G131" s="397"/>
      <c r="H131" s="456" t="s">
        <v>456</v>
      </c>
      <c r="I131" s="455">
        <f>SUM(I130)</f>
        <v>0</v>
      </c>
    </row>
    <row r="132" spans="2:18" s="1" customFormat="1" ht="18" customHeight="1">
      <c r="B132" s="387"/>
      <c r="C132" s="472"/>
      <c r="D132" s="473"/>
      <c r="E132" s="474"/>
      <c r="F132" s="388"/>
      <c r="G132" s="387"/>
      <c r="H132" s="475"/>
      <c r="I132" s="423"/>
    </row>
    <row r="133" spans="2:18" s="1" customFormat="1" ht="18" customHeight="1">
      <c r="B133" s="175" t="s">
        <v>32</v>
      </c>
      <c r="C133" s="176"/>
      <c r="D133" s="177" t="s">
        <v>434</v>
      </c>
      <c r="E133" s="201"/>
      <c r="F133" s="178"/>
      <c r="G133" s="175"/>
      <c r="H133" s="408"/>
      <c r="I133" s="408"/>
    </row>
    <row r="134" spans="2:18" s="1" customFormat="1" ht="18" hidden="1" customHeight="1">
      <c r="B134" s="129"/>
      <c r="C134" s="152"/>
      <c r="D134" s="153" t="s">
        <v>18</v>
      </c>
      <c r="E134" s="274"/>
      <c r="F134" s="145"/>
      <c r="G134" s="145"/>
      <c r="H134" s="422"/>
      <c r="I134" s="424"/>
    </row>
    <row r="135" spans="2:18" s="1" customFormat="1" ht="18" hidden="1" customHeight="1">
      <c r="B135" s="129"/>
      <c r="C135" s="152" t="s">
        <v>6</v>
      </c>
      <c r="D135" s="144" t="e">
        <v>#REF!</v>
      </c>
      <c r="E135" s="274"/>
      <c r="F135" s="145">
        <v>11</v>
      </c>
      <c r="G135" s="145" t="s">
        <v>11</v>
      </c>
      <c r="H135" s="422" t="e">
        <v>#REF!</v>
      </c>
      <c r="I135" s="424"/>
    </row>
    <row r="136" spans="2:18" s="1" customFormat="1" ht="18" hidden="1" customHeight="1">
      <c r="B136" s="129"/>
      <c r="C136" s="152" t="s">
        <v>6</v>
      </c>
      <c r="D136" s="144" t="e">
        <v>#REF!</v>
      </c>
      <c r="E136" s="274"/>
      <c r="F136" s="145">
        <v>4</v>
      </c>
      <c r="G136" s="145" t="s">
        <v>11</v>
      </c>
      <c r="H136" s="422">
        <v>928587</v>
      </c>
      <c r="I136" s="424"/>
    </row>
    <row r="137" spans="2:18" s="1" customFormat="1" ht="18" hidden="1" customHeight="1">
      <c r="B137" s="129"/>
      <c r="C137" s="152" t="s">
        <v>6</v>
      </c>
      <c r="D137" s="144" t="s">
        <v>41</v>
      </c>
      <c r="E137" s="274"/>
      <c r="F137" s="145">
        <v>82</v>
      </c>
      <c r="G137" s="145" t="s">
        <v>7</v>
      </c>
      <c r="H137" s="422">
        <v>16950</v>
      </c>
      <c r="I137" s="424"/>
    </row>
    <row r="138" spans="2:18" s="1" customFormat="1" ht="18" hidden="1" customHeight="1">
      <c r="B138" s="129"/>
      <c r="C138" s="152" t="s">
        <v>6</v>
      </c>
      <c r="D138" s="144" t="s">
        <v>63</v>
      </c>
      <c r="E138" s="274"/>
      <c r="F138" s="145">
        <v>4</v>
      </c>
      <c r="G138" s="145" t="s">
        <v>5</v>
      </c>
      <c r="H138" s="422">
        <v>784668.5</v>
      </c>
      <c r="I138" s="424"/>
    </row>
    <row r="139" spans="2:18" s="1" customFormat="1" ht="18" hidden="1" customHeight="1">
      <c r="B139" s="129"/>
      <c r="C139" s="152" t="s">
        <v>6</v>
      </c>
      <c r="D139" s="144" t="s">
        <v>64</v>
      </c>
      <c r="E139" s="274"/>
      <c r="F139" s="145">
        <v>8</v>
      </c>
      <c r="G139" s="145" t="s">
        <v>5</v>
      </c>
      <c r="H139" s="422">
        <v>758268.5</v>
      </c>
      <c r="I139" s="424"/>
    </row>
    <row r="140" spans="2:18" s="1" customFormat="1" ht="18" hidden="1" customHeight="1">
      <c r="B140" s="129"/>
      <c r="C140" s="152" t="s">
        <v>6</v>
      </c>
      <c r="D140" s="144" t="s">
        <v>65</v>
      </c>
      <c r="E140" s="274"/>
      <c r="F140" s="145">
        <v>1</v>
      </c>
      <c r="G140" s="145" t="s">
        <v>5</v>
      </c>
      <c r="H140" s="422">
        <v>2541621.5</v>
      </c>
      <c r="I140" s="424"/>
    </row>
    <row r="141" spans="2:18" s="1" customFormat="1" ht="18" hidden="1" customHeight="1">
      <c r="B141" s="129"/>
      <c r="C141" s="154"/>
      <c r="D141" s="153"/>
      <c r="E141" s="274"/>
      <c r="F141" s="145"/>
      <c r="G141" s="155"/>
      <c r="H141" s="424"/>
      <c r="I141" s="424"/>
    </row>
    <row r="142" spans="2:18" s="1" customFormat="1" ht="18" hidden="1" customHeight="1">
      <c r="B142" s="129"/>
      <c r="C142" s="154"/>
      <c r="D142" s="153"/>
      <c r="E142" s="274"/>
      <c r="F142" s="145"/>
      <c r="G142" s="155"/>
      <c r="H142" s="424"/>
      <c r="I142" s="424"/>
    </row>
    <row r="143" spans="2:18" s="1" customFormat="1" ht="18" customHeight="1">
      <c r="B143" s="129"/>
      <c r="C143" s="154"/>
      <c r="D143" s="139" t="s">
        <v>18</v>
      </c>
      <c r="E143" s="274"/>
      <c r="F143" s="145"/>
      <c r="G143" s="155"/>
      <c r="H143" s="424"/>
      <c r="I143" s="424"/>
    </row>
    <row r="144" spans="2:18" s="1" customFormat="1" ht="18" customHeight="1">
      <c r="B144" s="129"/>
      <c r="C144" s="154" t="s">
        <v>6</v>
      </c>
      <c r="D144" s="153" t="s">
        <v>98</v>
      </c>
      <c r="E144" s="274"/>
      <c r="F144" s="272">
        <v>7</v>
      </c>
      <c r="G144" s="136" t="s">
        <v>11</v>
      </c>
      <c r="H144" s="422"/>
      <c r="I144" s="424"/>
      <c r="M144" s="174"/>
    </row>
    <row r="145" spans="1:18" s="1" customFormat="1" ht="18" customHeight="1">
      <c r="B145" s="129"/>
      <c r="C145" s="154" t="s">
        <v>6</v>
      </c>
      <c r="D145" s="144" t="s">
        <v>64</v>
      </c>
      <c r="E145" s="274"/>
      <c r="F145" s="272">
        <v>7</v>
      </c>
      <c r="G145" s="145" t="s">
        <v>5</v>
      </c>
      <c r="H145" s="422"/>
      <c r="I145" s="424"/>
    </row>
    <row r="146" spans="1:18" s="1" customFormat="1" ht="18" customHeight="1">
      <c r="B146" s="161"/>
      <c r="C146" s="476" t="s">
        <v>6</v>
      </c>
      <c r="D146" s="477"/>
      <c r="E146" s="478"/>
      <c r="F146" s="479"/>
      <c r="G146" s="480"/>
      <c r="H146" s="481"/>
      <c r="I146" s="425"/>
    </row>
    <row r="147" spans="1:18" s="1" customFormat="1" ht="18" customHeight="1">
      <c r="B147" s="326"/>
      <c r="C147" s="395"/>
      <c r="D147" s="395"/>
      <c r="E147" s="396"/>
      <c r="F147" s="395"/>
      <c r="G147" s="397"/>
      <c r="H147" s="456" t="s">
        <v>457</v>
      </c>
      <c r="I147" s="455">
        <f>SUM(I144:I146)</f>
        <v>0</v>
      </c>
    </row>
    <row r="148" spans="1:18" s="1" customFormat="1" ht="18" customHeight="1">
      <c r="B148" s="182"/>
      <c r="C148" s="482"/>
      <c r="D148" s="483"/>
      <c r="E148" s="484"/>
      <c r="F148" s="485"/>
      <c r="G148" s="486"/>
      <c r="H148" s="487"/>
      <c r="I148" s="424"/>
    </row>
    <row r="149" spans="1:18" ht="18" customHeight="1">
      <c r="B149" s="175" t="s">
        <v>33</v>
      </c>
      <c r="C149" s="176"/>
      <c r="D149" s="266" t="s">
        <v>35</v>
      </c>
      <c r="E149" s="215"/>
      <c r="F149" s="273">
        <v>1</v>
      </c>
      <c r="G149" s="175" t="s">
        <v>8</v>
      </c>
      <c r="H149" s="408"/>
      <c r="I149" s="408"/>
      <c r="K149" s="146"/>
      <c r="L149" s="147"/>
      <c r="M149" s="156"/>
      <c r="N149" s="149"/>
      <c r="O149" s="149"/>
      <c r="P149" s="150"/>
      <c r="Q149" s="157" t="s">
        <v>60</v>
      </c>
      <c r="R149" s="151">
        <v>15000000</v>
      </c>
    </row>
    <row r="150" spans="1:18" ht="18" customHeight="1">
      <c r="B150" s="161"/>
      <c r="C150" s="162"/>
      <c r="D150" s="195"/>
      <c r="E150" s="163"/>
      <c r="F150" s="164"/>
      <c r="G150" s="165"/>
      <c r="H150" s="410"/>
      <c r="I150" s="423"/>
    </row>
    <row r="151" spans="1:18" s="494" customFormat="1" ht="29.25" customHeight="1">
      <c r="A151" s="488"/>
      <c r="B151" s="489"/>
      <c r="C151" s="490"/>
      <c r="D151" s="490"/>
      <c r="E151" s="491"/>
      <c r="F151" s="490"/>
      <c r="G151" s="490"/>
      <c r="H151" s="492" t="s">
        <v>439</v>
      </c>
      <c r="I151" s="493">
        <f>I149+I147+I131+I126+I113+I101+I93+I85+I68+I62+I51+I40+I27</f>
        <v>0</v>
      </c>
    </row>
  </sheetData>
  <mergeCells count="6">
    <mergeCell ref="B9:B10"/>
    <mergeCell ref="C9:E10"/>
    <mergeCell ref="F9:F10"/>
    <mergeCell ref="G9:G10"/>
    <mergeCell ref="B1:I1"/>
    <mergeCell ref="B2:I2"/>
  </mergeCells>
  <printOptions horizontalCentered="1"/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50"/>
  <sheetViews>
    <sheetView showGridLines="0" view="pageBreakPreview" topLeftCell="A118" zoomScale="85" zoomScaleNormal="100" zoomScaleSheetLayoutView="85" workbookViewId="0">
      <selection activeCell="I47" sqref="I47"/>
    </sheetView>
  </sheetViews>
  <sheetFormatPr defaultRowHeight="15" customHeight="1"/>
  <cols>
    <col min="1" max="1" width="9.1796875" style="118"/>
    <col min="2" max="2" width="5.7265625" style="120" customWidth="1"/>
    <col min="3" max="3" width="2.7265625" style="231" customWidth="1"/>
    <col min="4" max="4" width="5.7265625" style="120" customWidth="1"/>
    <col min="5" max="5" width="1.54296875" style="231" customWidth="1"/>
    <col min="6" max="6" width="45.7265625" style="120" customWidth="1"/>
    <col min="7" max="7" width="6.7265625" style="121" customWidth="1"/>
    <col min="8" max="8" width="6.7265625" style="120" customWidth="1"/>
    <col min="9" max="9" width="14.7265625" style="122" customWidth="1"/>
    <col min="10" max="10" width="19" style="122" customWidth="1"/>
    <col min="11" max="11" width="7.7265625" style="118" customWidth="1"/>
    <col min="12" max="12" width="14" style="118" hidden="1" customWidth="1"/>
    <col min="13" max="15" width="0" style="118" hidden="1" customWidth="1"/>
    <col min="16" max="16" width="19.453125" style="118" hidden="1" customWidth="1"/>
    <col min="17" max="17" width="18.26953125" style="118" hidden="1" customWidth="1"/>
    <col min="18" max="260" width="9.1796875" style="118"/>
    <col min="261" max="261" width="4.453125" style="118" customWidth="1"/>
    <col min="262" max="262" width="37.26953125" style="118" customWidth="1"/>
    <col min="263" max="263" width="8.54296875" style="118" bestFit="1" customWidth="1"/>
    <col min="264" max="264" width="8.453125" style="118" bestFit="1" customWidth="1"/>
    <col min="265" max="265" width="14.7265625" style="118" customWidth="1"/>
    <col min="266" max="266" width="19" style="118" customWidth="1"/>
    <col min="267" max="267" width="7.7265625" style="118" customWidth="1"/>
    <col min="268" max="516" width="9.1796875" style="118"/>
    <col min="517" max="517" width="4.453125" style="118" customWidth="1"/>
    <col min="518" max="518" width="37.26953125" style="118" customWidth="1"/>
    <col min="519" max="519" width="8.54296875" style="118" bestFit="1" customWidth="1"/>
    <col min="520" max="520" width="8.453125" style="118" bestFit="1" customWidth="1"/>
    <col min="521" max="521" width="14.7265625" style="118" customWidth="1"/>
    <col min="522" max="522" width="19" style="118" customWidth="1"/>
    <col min="523" max="523" width="7.7265625" style="118" customWidth="1"/>
    <col min="524" max="772" width="9.1796875" style="118"/>
    <col min="773" max="773" width="4.453125" style="118" customWidth="1"/>
    <col min="774" max="774" width="37.26953125" style="118" customWidth="1"/>
    <col min="775" max="775" width="8.54296875" style="118" bestFit="1" customWidth="1"/>
    <col min="776" max="776" width="8.453125" style="118" bestFit="1" customWidth="1"/>
    <col min="777" max="777" width="14.7265625" style="118" customWidth="1"/>
    <col min="778" max="778" width="19" style="118" customWidth="1"/>
    <col min="779" max="779" width="7.7265625" style="118" customWidth="1"/>
    <col min="780" max="1028" width="9.1796875" style="118"/>
    <col min="1029" max="1029" width="4.453125" style="118" customWidth="1"/>
    <col min="1030" max="1030" width="37.26953125" style="118" customWidth="1"/>
    <col min="1031" max="1031" width="8.54296875" style="118" bestFit="1" customWidth="1"/>
    <col min="1032" max="1032" width="8.453125" style="118" bestFit="1" customWidth="1"/>
    <col min="1033" max="1033" width="14.7265625" style="118" customWidth="1"/>
    <col min="1034" max="1034" width="19" style="118" customWidth="1"/>
    <col min="1035" max="1035" width="7.7265625" style="118" customWidth="1"/>
    <col min="1036" max="1284" width="9.1796875" style="118"/>
    <col min="1285" max="1285" width="4.453125" style="118" customWidth="1"/>
    <col min="1286" max="1286" width="37.26953125" style="118" customWidth="1"/>
    <col min="1287" max="1287" width="8.54296875" style="118" bestFit="1" customWidth="1"/>
    <col min="1288" max="1288" width="8.453125" style="118" bestFit="1" customWidth="1"/>
    <col min="1289" max="1289" width="14.7265625" style="118" customWidth="1"/>
    <col min="1290" max="1290" width="19" style="118" customWidth="1"/>
    <col min="1291" max="1291" width="7.7265625" style="118" customWidth="1"/>
    <col min="1292" max="1540" width="9.1796875" style="118"/>
    <col min="1541" max="1541" width="4.453125" style="118" customWidth="1"/>
    <col min="1542" max="1542" width="37.26953125" style="118" customWidth="1"/>
    <col min="1543" max="1543" width="8.54296875" style="118" bestFit="1" customWidth="1"/>
    <col min="1544" max="1544" width="8.453125" style="118" bestFit="1" customWidth="1"/>
    <col min="1545" max="1545" width="14.7265625" style="118" customWidth="1"/>
    <col min="1546" max="1546" width="19" style="118" customWidth="1"/>
    <col min="1547" max="1547" width="7.7265625" style="118" customWidth="1"/>
    <col min="1548" max="1796" width="9.1796875" style="118"/>
    <col min="1797" max="1797" width="4.453125" style="118" customWidth="1"/>
    <col min="1798" max="1798" width="37.26953125" style="118" customWidth="1"/>
    <col min="1799" max="1799" width="8.54296875" style="118" bestFit="1" customWidth="1"/>
    <col min="1800" max="1800" width="8.453125" style="118" bestFit="1" customWidth="1"/>
    <col min="1801" max="1801" width="14.7265625" style="118" customWidth="1"/>
    <col min="1802" max="1802" width="19" style="118" customWidth="1"/>
    <col min="1803" max="1803" width="7.7265625" style="118" customWidth="1"/>
    <col min="1804" max="2052" width="9.1796875" style="118"/>
    <col min="2053" max="2053" width="4.453125" style="118" customWidth="1"/>
    <col min="2054" max="2054" width="37.26953125" style="118" customWidth="1"/>
    <col min="2055" max="2055" width="8.54296875" style="118" bestFit="1" customWidth="1"/>
    <col min="2056" max="2056" width="8.453125" style="118" bestFit="1" customWidth="1"/>
    <col min="2057" max="2057" width="14.7265625" style="118" customWidth="1"/>
    <col min="2058" max="2058" width="19" style="118" customWidth="1"/>
    <col min="2059" max="2059" width="7.7265625" style="118" customWidth="1"/>
    <col min="2060" max="2308" width="9.1796875" style="118"/>
    <col min="2309" max="2309" width="4.453125" style="118" customWidth="1"/>
    <col min="2310" max="2310" width="37.26953125" style="118" customWidth="1"/>
    <col min="2311" max="2311" width="8.54296875" style="118" bestFit="1" customWidth="1"/>
    <col min="2312" max="2312" width="8.453125" style="118" bestFit="1" customWidth="1"/>
    <col min="2313" max="2313" width="14.7265625" style="118" customWidth="1"/>
    <col min="2314" max="2314" width="19" style="118" customWidth="1"/>
    <col min="2315" max="2315" width="7.7265625" style="118" customWidth="1"/>
    <col min="2316" max="2564" width="9.1796875" style="118"/>
    <col min="2565" max="2565" width="4.453125" style="118" customWidth="1"/>
    <col min="2566" max="2566" width="37.26953125" style="118" customWidth="1"/>
    <col min="2567" max="2567" width="8.54296875" style="118" bestFit="1" customWidth="1"/>
    <col min="2568" max="2568" width="8.453125" style="118" bestFit="1" customWidth="1"/>
    <col min="2569" max="2569" width="14.7265625" style="118" customWidth="1"/>
    <col min="2570" max="2570" width="19" style="118" customWidth="1"/>
    <col min="2571" max="2571" width="7.7265625" style="118" customWidth="1"/>
    <col min="2572" max="2820" width="9.1796875" style="118"/>
    <col min="2821" max="2821" width="4.453125" style="118" customWidth="1"/>
    <col min="2822" max="2822" width="37.26953125" style="118" customWidth="1"/>
    <col min="2823" max="2823" width="8.54296875" style="118" bestFit="1" customWidth="1"/>
    <col min="2824" max="2824" width="8.453125" style="118" bestFit="1" customWidth="1"/>
    <col min="2825" max="2825" width="14.7265625" style="118" customWidth="1"/>
    <col min="2826" max="2826" width="19" style="118" customWidth="1"/>
    <col min="2827" max="2827" width="7.7265625" style="118" customWidth="1"/>
    <col min="2828" max="3076" width="9.1796875" style="118"/>
    <col min="3077" max="3077" width="4.453125" style="118" customWidth="1"/>
    <col min="3078" max="3078" width="37.26953125" style="118" customWidth="1"/>
    <col min="3079" max="3079" width="8.54296875" style="118" bestFit="1" customWidth="1"/>
    <col min="3080" max="3080" width="8.453125" style="118" bestFit="1" customWidth="1"/>
    <col min="3081" max="3081" width="14.7265625" style="118" customWidth="1"/>
    <col min="3082" max="3082" width="19" style="118" customWidth="1"/>
    <col min="3083" max="3083" width="7.7265625" style="118" customWidth="1"/>
    <col min="3084" max="3332" width="9.1796875" style="118"/>
    <col min="3333" max="3333" width="4.453125" style="118" customWidth="1"/>
    <col min="3334" max="3334" width="37.26953125" style="118" customWidth="1"/>
    <col min="3335" max="3335" width="8.54296875" style="118" bestFit="1" customWidth="1"/>
    <col min="3336" max="3336" width="8.453125" style="118" bestFit="1" customWidth="1"/>
    <col min="3337" max="3337" width="14.7265625" style="118" customWidth="1"/>
    <col min="3338" max="3338" width="19" style="118" customWidth="1"/>
    <col min="3339" max="3339" width="7.7265625" style="118" customWidth="1"/>
    <col min="3340" max="3588" width="9.1796875" style="118"/>
    <col min="3589" max="3589" width="4.453125" style="118" customWidth="1"/>
    <col min="3590" max="3590" width="37.26953125" style="118" customWidth="1"/>
    <col min="3591" max="3591" width="8.54296875" style="118" bestFit="1" customWidth="1"/>
    <col min="3592" max="3592" width="8.453125" style="118" bestFit="1" customWidth="1"/>
    <col min="3593" max="3593" width="14.7265625" style="118" customWidth="1"/>
    <col min="3594" max="3594" width="19" style="118" customWidth="1"/>
    <col min="3595" max="3595" width="7.7265625" style="118" customWidth="1"/>
    <col min="3596" max="3844" width="9.1796875" style="118"/>
    <col min="3845" max="3845" width="4.453125" style="118" customWidth="1"/>
    <col min="3846" max="3846" width="37.26953125" style="118" customWidth="1"/>
    <col min="3847" max="3847" width="8.54296875" style="118" bestFit="1" customWidth="1"/>
    <col min="3848" max="3848" width="8.453125" style="118" bestFit="1" customWidth="1"/>
    <col min="3849" max="3849" width="14.7265625" style="118" customWidth="1"/>
    <col min="3850" max="3850" width="19" style="118" customWidth="1"/>
    <col min="3851" max="3851" width="7.7265625" style="118" customWidth="1"/>
    <col min="3852" max="4100" width="9.1796875" style="118"/>
    <col min="4101" max="4101" width="4.453125" style="118" customWidth="1"/>
    <col min="4102" max="4102" width="37.26953125" style="118" customWidth="1"/>
    <col min="4103" max="4103" width="8.54296875" style="118" bestFit="1" customWidth="1"/>
    <col min="4104" max="4104" width="8.453125" style="118" bestFit="1" customWidth="1"/>
    <col min="4105" max="4105" width="14.7265625" style="118" customWidth="1"/>
    <col min="4106" max="4106" width="19" style="118" customWidth="1"/>
    <col min="4107" max="4107" width="7.7265625" style="118" customWidth="1"/>
    <col min="4108" max="4356" width="9.1796875" style="118"/>
    <col min="4357" max="4357" width="4.453125" style="118" customWidth="1"/>
    <col min="4358" max="4358" width="37.26953125" style="118" customWidth="1"/>
    <col min="4359" max="4359" width="8.54296875" style="118" bestFit="1" customWidth="1"/>
    <col min="4360" max="4360" width="8.453125" style="118" bestFit="1" customWidth="1"/>
    <col min="4361" max="4361" width="14.7265625" style="118" customWidth="1"/>
    <col min="4362" max="4362" width="19" style="118" customWidth="1"/>
    <col min="4363" max="4363" width="7.7265625" style="118" customWidth="1"/>
    <col min="4364" max="4612" width="9.1796875" style="118"/>
    <col min="4613" max="4613" width="4.453125" style="118" customWidth="1"/>
    <col min="4614" max="4614" width="37.26953125" style="118" customWidth="1"/>
    <col min="4615" max="4615" width="8.54296875" style="118" bestFit="1" customWidth="1"/>
    <col min="4616" max="4616" width="8.453125" style="118" bestFit="1" customWidth="1"/>
    <col min="4617" max="4617" width="14.7265625" style="118" customWidth="1"/>
    <col min="4618" max="4618" width="19" style="118" customWidth="1"/>
    <col min="4619" max="4619" width="7.7265625" style="118" customWidth="1"/>
    <col min="4620" max="4868" width="9.1796875" style="118"/>
    <col min="4869" max="4869" width="4.453125" style="118" customWidth="1"/>
    <col min="4870" max="4870" width="37.26953125" style="118" customWidth="1"/>
    <col min="4871" max="4871" width="8.54296875" style="118" bestFit="1" customWidth="1"/>
    <col min="4872" max="4872" width="8.453125" style="118" bestFit="1" customWidth="1"/>
    <col min="4873" max="4873" width="14.7265625" style="118" customWidth="1"/>
    <col min="4874" max="4874" width="19" style="118" customWidth="1"/>
    <col min="4875" max="4875" width="7.7265625" style="118" customWidth="1"/>
    <col min="4876" max="5124" width="9.1796875" style="118"/>
    <col min="5125" max="5125" width="4.453125" style="118" customWidth="1"/>
    <col min="5126" max="5126" width="37.26953125" style="118" customWidth="1"/>
    <col min="5127" max="5127" width="8.54296875" style="118" bestFit="1" customWidth="1"/>
    <col min="5128" max="5128" width="8.453125" style="118" bestFit="1" customWidth="1"/>
    <col min="5129" max="5129" width="14.7265625" style="118" customWidth="1"/>
    <col min="5130" max="5130" width="19" style="118" customWidth="1"/>
    <col min="5131" max="5131" width="7.7265625" style="118" customWidth="1"/>
    <col min="5132" max="5380" width="9.1796875" style="118"/>
    <col min="5381" max="5381" width="4.453125" style="118" customWidth="1"/>
    <col min="5382" max="5382" width="37.26953125" style="118" customWidth="1"/>
    <col min="5383" max="5383" width="8.54296875" style="118" bestFit="1" customWidth="1"/>
    <col min="5384" max="5384" width="8.453125" style="118" bestFit="1" customWidth="1"/>
    <col min="5385" max="5385" width="14.7265625" style="118" customWidth="1"/>
    <col min="5386" max="5386" width="19" style="118" customWidth="1"/>
    <col min="5387" max="5387" width="7.7265625" style="118" customWidth="1"/>
    <col min="5388" max="5636" width="9.1796875" style="118"/>
    <col min="5637" max="5637" width="4.453125" style="118" customWidth="1"/>
    <col min="5638" max="5638" width="37.26953125" style="118" customWidth="1"/>
    <col min="5639" max="5639" width="8.54296875" style="118" bestFit="1" customWidth="1"/>
    <col min="5640" max="5640" width="8.453125" style="118" bestFit="1" customWidth="1"/>
    <col min="5641" max="5641" width="14.7265625" style="118" customWidth="1"/>
    <col min="5642" max="5642" width="19" style="118" customWidth="1"/>
    <col min="5643" max="5643" width="7.7265625" style="118" customWidth="1"/>
    <col min="5644" max="5892" width="9.1796875" style="118"/>
    <col min="5893" max="5893" width="4.453125" style="118" customWidth="1"/>
    <col min="5894" max="5894" width="37.26953125" style="118" customWidth="1"/>
    <col min="5895" max="5895" width="8.54296875" style="118" bestFit="1" customWidth="1"/>
    <col min="5896" max="5896" width="8.453125" style="118" bestFit="1" customWidth="1"/>
    <col min="5897" max="5897" width="14.7265625" style="118" customWidth="1"/>
    <col min="5898" max="5898" width="19" style="118" customWidth="1"/>
    <col min="5899" max="5899" width="7.7265625" style="118" customWidth="1"/>
    <col min="5900" max="6148" width="9.1796875" style="118"/>
    <col min="6149" max="6149" width="4.453125" style="118" customWidth="1"/>
    <col min="6150" max="6150" width="37.26953125" style="118" customWidth="1"/>
    <col min="6151" max="6151" width="8.54296875" style="118" bestFit="1" customWidth="1"/>
    <col min="6152" max="6152" width="8.453125" style="118" bestFit="1" customWidth="1"/>
    <col min="6153" max="6153" width="14.7265625" style="118" customWidth="1"/>
    <col min="6154" max="6154" width="19" style="118" customWidth="1"/>
    <col min="6155" max="6155" width="7.7265625" style="118" customWidth="1"/>
    <col min="6156" max="6404" width="9.1796875" style="118"/>
    <col min="6405" max="6405" width="4.453125" style="118" customWidth="1"/>
    <col min="6406" max="6406" width="37.26953125" style="118" customWidth="1"/>
    <col min="6407" max="6407" width="8.54296875" style="118" bestFit="1" customWidth="1"/>
    <col min="6408" max="6408" width="8.453125" style="118" bestFit="1" customWidth="1"/>
    <col min="6409" max="6409" width="14.7265625" style="118" customWidth="1"/>
    <col min="6410" max="6410" width="19" style="118" customWidth="1"/>
    <col min="6411" max="6411" width="7.7265625" style="118" customWidth="1"/>
    <col min="6412" max="6660" width="9.1796875" style="118"/>
    <col min="6661" max="6661" width="4.453125" style="118" customWidth="1"/>
    <col min="6662" max="6662" width="37.26953125" style="118" customWidth="1"/>
    <col min="6663" max="6663" width="8.54296875" style="118" bestFit="1" customWidth="1"/>
    <col min="6664" max="6664" width="8.453125" style="118" bestFit="1" customWidth="1"/>
    <col min="6665" max="6665" width="14.7265625" style="118" customWidth="1"/>
    <col min="6666" max="6666" width="19" style="118" customWidth="1"/>
    <col min="6667" max="6667" width="7.7265625" style="118" customWidth="1"/>
    <col min="6668" max="6916" width="9.1796875" style="118"/>
    <col min="6917" max="6917" width="4.453125" style="118" customWidth="1"/>
    <col min="6918" max="6918" width="37.26953125" style="118" customWidth="1"/>
    <col min="6919" max="6919" width="8.54296875" style="118" bestFit="1" customWidth="1"/>
    <col min="6920" max="6920" width="8.453125" style="118" bestFit="1" customWidth="1"/>
    <col min="6921" max="6921" width="14.7265625" style="118" customWidth="1"/>
    <col min="6922" max="6922" width="19" style="118" customWidth="1"/>
    <col min="6923" max="6923" width="7.7265625" style="118" customWidth="1"/>
    <col min="6924" max="7172" width="9.1796875" style="118"/>
    <col min="7173" max="7173" width="4.453125" style="118" customWidth="1"/>
    <col min="7174" max="7174" width="37.26953125" style="118" customWidth="1"/>
    <col min="7175" max="7175" width="8.54296875" style="118" bestFit="1" customWidth="1"/>
    <col min="7176" max="7176" width="8.453125" style="118" bestFit="1" customWidth="1"/>
    <col min="7177" max="7177" width="14.7265625" style="118" customWidth="1"/>
    <col min="7178" max="7178" width="19" style="118" customWidth="1"/>
    <col min="7179" max="7179" width="7.7265625" style="118" customWidth="1"/>
    <col min="7180" max="7428" width="9.1796875" style="118"/>
    <col min="7429" max="7429" width="4.453125" style="118" customWidth="1"/>
    <col min="7430" max="7430" width="37.26953125" style="118" customWidth="1"/>
    <col min="7431" max="7431" width="8.54296875" style="118" bestFit="1" customWidth="1"/>
    <col min="7432" max="7432" width="8.453125" style="118" bestFit="1" customWidth="1"/>
    <col min="7433" max="7433" width="14.7265625" style="118" customWidth="1"/>
    <col min="7434" max="7434" width="19" style="118" customWidth="1"/>
    <col min="7435" max="7435" width="7.7265625" style="118" customWidth="1"/>
    <col min="7436" max="7684" width="9.1796875" style="118"/>
    <col min="7685" max="7685" width="4.453125" style="118" customWidth="1"/>
    <col min="7686" max="7686" width="37.26953125" style="118" customWidth="1"/>
    <col min="7687" max="7687" width="8.54296875" style="118" bestFit="1" customWidth="1"/>
    <col min="7688" max="7688" width="8.453125" style="118" bestFit="1" customWidth="1"/>
    <col min="7689" max="7689" width="14.7265625" style="118" customWidth="1"/>
    <col min="7690" max="7690" width="19" style="118" customWidth="1"/>
    <col min="7691" max="7691" width="7.7265625" style="118" customWidth="1"/>
    <col min="7692" max="7940" width="9.1796875" style="118"/>
    <col min="7941" max="7941" width="4.453125" style="118" customWidth="1"/>
    <col min="7942" max="7942" width="37.26953125" style="118" customWidth="1"/>
    <col min="7943" max="7943" width="8.54296875" style="118" bestFit="1" customWidth="1"/>
    <col min="7944" max="7944" width="8.453125" style="118" bestFit="1" customWidth="1"/>
    <col min="7945" max="7945" width="14.7265625" style="118" customWidth="1"/>
    <col min="7946" max="7946" width="19" style="118" customWidth="1"/>
    <col min="7947" max="7947" width="7.7265625" style="118" customWidth="1"/>
    <col min="7948" max="8196" width="9.1796875" style="118"/>
    <col min="8197" max="8197" width="4.453125" style="118" customWidth="1"/>
    <col min="8198" max="8198" width="37.26953125" style="118" customWidth="1"/>
    <col min="8199" max="8199" width="8.54296875" style="118" bestFit="1" customWidth="1"/>
    <col min="8200" max="8200" width="8.453125" style="118" bestFit="1" customWidth="1"/>
    <col min="8201" max="8201" width="14.7265625" style="118" customWidth="1"/>
    <col min="8202" max="8202" width="19" style="118" customWidth="1"/>
    <col min="8203" max="8203" width="7.7265625" style="118" customWidth="1"/>
    <col min="8204" max="8452" width="9.1796875" style="118"/>
    <col min="8453" max="8453" width="4.453125" style="118" customWidth="1"/>
    <col min="8454" max="8454" width="37.26953125" style="118" customWidth="1"/>
    <col min="8455" max="8455" width="8.54296875" style="118" bestFit="1" customWidth="1"/>
    <col min="8456" max="8456" width="8.453125" style="118" bestFit="1" customWidth="1"/>
    <col min="8457" max="8457" width="14.7265625" style="118" customWidth="1"/>
    <col min="8458" max="8458" width="19" style="118" customWidth="1"/>
    <col min="8459" max="8459" width="7.7265625" style="118" customWidth="1"/>
    <col min="8460" max="8708" width="9.1796875" style="118"/>
    <col min="8709" max="8709" width="4.453125" style="118" customWidth="1"/>
    <col min="8710" max="8710" width="37.26953125" style="118" customWidth="1"/>
    <col min="8711" max="8711" width="8.54296875" style="118" bestFit="1" customWidth="1"/>
    <col min="8712" max="8712" width="8.453125" style="118" bestFit="1" customWidth="1"/>
    <col min="8713" max="8713" width="14.7265625" style="118" customWidth="1"/>
    <col min="8714" max="8714" width="19" style="118" customWidth="1"/>
    <col min="8715" max="8715" width="7.7265625" style="118" customWidth="1"/>
    <col min="8716" max="8964" width="9.1796875" style="118"/>
    <col min="8965" max="8965" width="4.453125" style="118" customWidth="1"/>
    <col min="8966" max="8966" width="37.26953125" style="118" customWidth="1"/>
    <col min="8967" max="8967" width="8.54296875" style="118" bestFit="1" customWidth="1"/>
    <col min="8968" max="8968" width="8.453125" style="118" bestFit="1" customWidth="1"/>
    <col min="8969" max="8969" width="14.7265625" style="118" customWidth="1"/>
    <col min="8970" max="8970" width="19" style="118" customWidth="1"/>
    <col min="8971" max="8971" width="7.7265625" style="118" customWidth="1"/>
    <col min="8972" max="9220" width="9.1796875" style="118"/>
    <col min="9221" max="9221" width="4.453125" style="118" customWidth="1"/>
    <col min="9222" max="9222" width="37.26953125" style="118" customWidth="1"/>
    <col min="9223" max="9223" width="8.54296875" style="118" bestFit="1" customWidth="1"/>
    <col min="9224" max="9224" width="8.453125" style="118" bestFit="1" customWidth="1"/>
    <col min="9225" max="9225" width="14.7265625" style="118" customWidth="1"/>
    <col min="9226" max="9226" width="19" style="118" customWidth="1"/>
    <col min="9227" max="9227" width="7.7265625" style="118" customWidth="1"/>
    <col min="9228" max="9476" width="9.1796875" style="118"/>
    <col min="9477" max="9477" width="4.453125" style="118" customWidth="1"/>
    <col min="9478" max="9478" width="37.26953125" style="118" customWidth="1"/>
    <col min="9479" max="9479" width="8.54296875" style="118" bestFit="1" customWidth="1"/>
    <col min="9480" max="9480" width="8.453125" style="118" bestFit="1" customWidth="1"/>
    <col min="9481" max="9481" width="14.7265625" style="118" customWidth="1"/>
    <col min="9482" max="9482" width="19" style="118" customWidth="1"/>
    <col min="9483" max="9483" width="7.7265625" style="118" customWidth="1"/>
    <col min="9484" max="9732" width="9.1796875" style="118"/>
    <col min="9733" max="9733" width="4.453125" style="118" customWidth="1"/>
    <col min="9734" max="9734" width="37.26953125" style="118" customWidth="1"/>
    <col min="9735" max="9735" width="8.54296875" style="118" bestFit="1" customWidth="1"/>
    <col min="9736" max="9736" width="8.453125" style="118" bestFit="1" customWidth="1"/>
    <col min="9737" max="9737" width="14.7265625" style="118" customWidth="1"/>
    <col min="9738" max="9738" width="19" style="118" customWidth="1"/>
    <col min="9739" max="9739" width="7.7265625" style="118" customWidth="1"/>
    <col min="9740" max="9988" width="9.1796875" style="118"/>
    <col min="9989" max="9989" width="4.453125" style="118" customWidth="1"/>
    <col min="9990" max="9990" width="37.26953125" style="118" customWidth="1"/>
    <col min="9991" max="9991" width="8.54296875" style="118" bestFit="1" customWidth="1"/>
    <col min="9992" max="9992" width="8.453125" style="118" bestFit="1" customWidth="1"/>
    <col min="9993" max="9993" width="14.7265625" style="118" customWidth="1"/>
    <col min="9994" max="9994" width="19" style="118" customWidth="1"/>
    <col min="9995" max="9995" width="7.7265625" style="118" customWidth="1"/>
    <col min="9996" max="10244" width="9.1796875" style="118"/>
    <col min="10245" max="10245" width="4.453125" style="118" customWidth="1"/>
    <col min="10246" max="10246" width="37.26953125" style="118" customWidth="1"/>
    <col min="10247" max="10247" width="8.54296875" style="118" bestFit="1" customWidth="1"/>
    <col min="10248" max="10248" width="8.453125" style="118" bestFit="1" customWidth="1"/>
    <col min="10249" max="10249" width="14.7265625" style="118" customWidth="1"/>
    <col min="10250" max="10250" width="19" style="118" customWidth="1"/>
    <col min="10251" max="10251" width="7.7265625" style="118" customWidth="1"/>
    <col min="10252" max="10500" width="9.1796875" style="118"/>
    <col min="10501" max="10501" width="4.453125" style="118" customWidth="1"/>
    <col min="10502" max="10502" width="37.26953125" style="118" customWidth="1"/>
    <col min="10503" max="10503" width="8.54296875" style="118" bestFit="1" customWidth="1"/>
    <col min="10504" max="10504" width="8.453125" style="118" bestFit="1" customWidth="1"/>
    <col min="10505" max="10505" width="14.7265625" style="118" customWidth="1"/>
    <col min="10506" max="10506" width="19" style="118" customWidth="1"/>
    <col min="10507" max="10507" width="7.7265625" style="118" customWidth="1"/>
    <col min="10508" max="10756" width="9.1796875" style="118"/>
    <col min="10757" max="10757" width="4.453125" style="118" customWidth="1"/>
    <col min="10758" max="10758" width="37.26953125" style="118" customWidth="1"/>
    <col min="10759" max="10759" width="8.54296875" style="118" bestFit="1" customWidth="1"/>
    <col min="10760" max="10760" width="8.453125" style="118" bestFit="1" customWidth="1"/>
    <col min="10761" max="10761" width="14.7265625" style="118" customWidth="1"/>
    <col min="10762" max="10762" width="19" style="118" customWidth="1"/>
    <col min="10763" max="10763" width="7.7265625" style="118" customWidth="1"/>
    <col min="10764" max="11012" width="9.1796875" style="118"/>
    <col min="11013" max="11013" width="4.453125" style="118" customWidth="1"/>
    <col min="11014" max="11014" width="37.26953125" style="118" customWidth="1"/>
    <col min="11015" max="11015" width="8.54296875" style="118" bestFit="1" customWidth="1"/>
    <col min="11016" max="11016" width="8.453125" style="118" bestFit="1" customWidth="1"/>
    <col min="11017" max="11017" width="14.7265625" style="118" customWidth="1"/>
    <col min="11018" max="11018" width="19" style="118" customWidth="1"/>
    <col min="11019" max="11019" width="7.7265625" style="118" customWidth="1"/>
    <col min="11020" max="11268" width="9.1796875" style="118"/>
    <col min="11269" max="11269" width="4.453125" style="118" customWidth="1"/>
    <col min="11270" max="11270" width="37.26953125" style="118" customWidth="1"/>
    <col min="11271" max="11271" width="8.54296875" style="118" bestFit="1" customWidth="1"/>
    <col min="11272" max="11272" width="8.453125" style="118" bestFit="1" customWidth="1"/>
    <col min="11273" max="11273" width="14.7265625" style="118" customWidth="1"/>
    <col min="11274" max="11274" width="19" style="118" customWidth="1"/>
    <col min="11275" max="11275" width="7.7265625" style="118" customWidth="1"/>
    <col min="11276" max="11524" width="9.1796875" style="118"/>
    <col min="11525" max="11525" width="4.453125" style="118" customWidth="1"/>
    <col min="11526" max="11526" width="37.26953125" style="118" customWidth="1"/>
    <col min="11527" max="11527" width="8.54296875" style="118" bestFit="1" customWidth="1"/>
    <col min="11528" max="11528" width="8.453125" style="118" bestFit="1" customWidth="1"/>
    <col min="11529" max="11529" width="14.7265625" style="118" customWidth="1"/>
    <col min="11530" max="11530" width="19" style="118" customWidth="1"/>
    <col min="11531" max="11531" width="7.7265625" style="118" customWidth="1"/>
    <col min="11532" max="11780" width="9.1796875" style="118"/>
    <col min="11781" max="11781" width="4.453125" style="118" customWidth="1"/>
    <col min="11782" max="11782" width="37.26953125" style="118" customWidth="1"/>
    <col min="11783" max="11783" width="8.54296875" style="118" bestFit="1" customWidth="1"/>
    <col min="11784" max="11784" width="8.453125" style="118" bestFit="1" customWidth="1"/>
    <col min="11785" max="11785" width="14.7265625" style="118" customWidth="1"/>
    <col min="11786" max="11786" width="19" style="118" customWidth="1"/>
    <col min="11787" max="11787" width="7.7265625" style="118" customWidth="1"/>
    <col min="11788" max="12036" width="9.1796875" style="118"/>
    <col min="12037" max="12037" width="4.453125" style="118" customWidth="1"/>
    <col min="12038" max="12038" width="37.26953125" style="118" customWidth="1"/>
    <col min="12039" max="12039" width="8.54296875" style="118" bestFit="1" customWidth="1"/>
    <col min="12040" max="12040" width="8.453125" style="118" bestFit="1" customWidth="1"/>
    <col min="12041" max="12041" width="14.7265625" style="118" customWidth="1"/>
    <col min="12042" max="12042" width="19" style="118" customWidth="1"/>
    <col min="12043" max="12043" width="7.7265625" style="118" customWidth="1"/>
    <col min="12044" max="12292" width="9.1796875" style="118"/>
    <col min="12293" max="12293" width="4.453125" style="118" customWidth="1"/>
    <col min="12294" max="12294" width="37.26953125" style="118" customWidth="1"/>
    <col min="12295" max="12295" width="8.54296875" style="118" bestFit="1" customWidth="1"/>
    <col min="12296" max="12296" width="8.453125" style="118" bestFit="1" customWidth="1"/>
    <col min="12297" max="12297" width="14.7265625" style="118" customWidth="1"/>
    <col min="12298" max="12298" width="19" style="118" customWidth="1"/>
    <col min="12299" max="12299" width="7.7265625" style="118" customWidth="1"/>
    <col min="12300" max="12548" width="9.1796875" style="118"/>
    <col min="12549" max="12549" width="4.453125" style="118" customWidth="1"/>
    <col min="12550" max="12550" width="37.26953125" style="118" customWidth="1"/>
    <col min="12551" max="12551" width="8.54296875" style="118" bestFit="1" customWidth="1"/>
    <col min="12552" max="12552" width="8.453125" style="118" bestFit="1" customWidth="1"/>
    <col min="12553" max="12553" width="14.7265625" style="118" customWidth="1"/>
    <col min="12554" max="12554" width="19" style="118" customWidth="1"/>
    <col min="12555" max="12555" width="7.7265625" style="118" customWidth="1"/>
    <col min="12556" max="12804" width="9.1796875" style="118"/>
    <col min="12805" max="12805" width="4.453125" style="118" customWidth="1"/>
    <col min="12806" max="12806" width="37.26953125" style="118" customWidth="1"/>
    <col min="12807" max="12807" width="8.54296875" style="118" bestFit="1" customWidth="1"/>
    <col min="12808" max="12808" width="8.453125" style="118" bestFit="1" customWidth="1"/>
    <col min="12809" max="12809" width="14.7265625" style="118" customWidth="1"/>
    <col min="12810" max="12810" width="19" style="118" customWidth="1"/>
    <col min="12811" max="12811" width="7.7265625" style="118" customWidth="1"/>
    <col min="12812" max="13060" width="9.1796875" style="118"/>
    <col min="13061" max="13061" width="4.453125" style="118" customWidth="1"/>
    <col min="13062" max="13062" width="37.26953125" style="118" customWidth="1"/>
    <col min="13063" max="13063" width="8.54296875" style="118" bestFit="1" customWidth="1"/>
    <col min="13064" max="13064" width="8.453125" style="118" bestFit="1" customWidth="1"/>
    <col min="13065" max="13065" width="14.7265625" style="118" customWidth="1"/>
    <col min="13066" max="13066" width="19" style="118" customWidth="1"/>
    <col min="13067" max="13067" width="7.7265625" style="118" customWidth="1"/>
    <col min="13068" max="13316" width="9.1796875" style="118"/>
    <col min="13317" max="13317" width="4.453125" style="118" customWidth="1"/>
    <col min="13318" max="13318" width="37.26953125" style="118" customWidth="1"/>
    <col min="13319" max="13319" width="8.54296875" style="118" bestFit="1" customWidth="1"/>
    <col min="13320" max="13320" width="8.453125" style="118" bestFit="1" customWidth="1"/>
    <col min="13321" max="13321" width="14.7265625" style="118" customWidth="1"/>
    <col min="13322" max="13322" width="19" style="118" customWidth="1"/>
    <col min="13323" max="13323" width="7.7265625" style="118" customWidth="1"/>
    <col min="13324" max="13572" width="9.1796875" style="118"/>
    <col min="13573" max="13573" width="4.453125" style="118" customWidth="1"/>
    <col min="13574" max="13574" width="37.26953125" style="118" customWidth="1"/>
    <col min="13575" max="13575" width="8.54296875" style="118" bestFit="1" customWidth="1"/>
    <col min="13576" max="13576" width="8.453125" style="118" bestFit="1" customWidth="1"/>
    <col min="13577" max="13577" width="14.7265625" style="118" customWidth="1"/>
    <col min="13578" max="13578" width="19" style="118" customWidth="1"/>
    <col min="13579" max="13579" width="7.7265625" style="118" customWidth="1"/>
    <col min="13580" max="13828" width="9.1796875" style="118"/>
    <col min="13829" max="13829" width="4.453125" style="118" customWidth="1"/>
    <col min="13830" max="13830" width="37.26953125" style="118" customWidth="1"/>
    <col min="13831" max="13831" width="8.54296875" style="118" bestFit="1" customWidth="1"/>
    <col min="13832" max="13832" width="8.453125" style="118" bestFit="1" customWidth="1"/>
    <col min="13833" max="13833" width="14.7265625" style="118" customWidth="1"/>
    <col min="13834" max="13834" width="19" style="118" customWidth="1"/>
    <col min="13835" max="13835" width="7.7265625" style="118" customWidth="1"/>
    <col min="13836" max="14084" width="9.1796875" style="118"/>
    <col min="14085" max="14085" width="4.453125" style="118" customWidth="1"/>
    <col min="14086" max="14086" width="37.26953125" style="118" customWidth="1"/>
    <col min="14087" max="14087" width="8.54296875" style="118" bestFit="1" customWidth="1"/>
    <col min="14088" max="14088" width="8.453125" style="118" bestFit="1" customWidth="1"/>
    <col min="14089" max="14089" width="14.7265625" style="118" customWidth="1"/>
    <col min="14090" max="14090" width="19" style="118" customWidth="1"/>
    <col min="14091" max="14091" width="7.7265625" style="118" customWidth="1"/>
    <col min="14092" max="14340" width="9.1796875" style="118"/>
    <col min="14341" max="14341" width="4.453125" style="118" customWidth="1"/>
    <col min="14342" max="14342" width="37.26953125" style="118" customWidth="1"/>
    <col min="14343" max="14343" width="8.54296875" style="118" bestFit="1" customWidth="1"/>
    <col min="14344" max="14344" width="8.453125" style="118" bestFit="1" customWidth="1"/>
    <col min="14345" max="14345" width="14.7265625" style="118" customWidth="1"/>
    <col min="14346" max="14346" width="19" style="118" customWidth="1"/>
    <col min="14347" max="14347" width="7.7265625" style="118" customWidth="1"/>
    <col min="14348" max="14596" width="9.1796875" style="118"/>
    <col min="14597" max="14597" width="4.453125" style="118" customWidth="1"/>
    <col min="14598" max="14598" width="37.26953125" style="118" customWidth="1"/>
    <col min="14599" max="14599" width="8.54296875" style="118" bestFit="1" customWidth="1"/>
    <col min="14600" max="14600" width="8.453125" style="118" bestFit="1" customWidth="1"/>
    <col min="14601" max="14601" width="14.7265625" style="118" customWidth="1"/>
    <col min="14602" max="14602" width="19" style="118" customWidth="1"/>
    <col min="14603" max="14603" width="7.7265625" style="118" customWidth="1"/>
    <col min="14604" max="14852" width="9.1796875" style="118"/>
    <col min="14853" max="14853" width="4.453125" style="118" customWidth="1"/>
    <col min="14854" max="14854" width="37.26953125" style="118" customWidth="1"/>
    <col min="14855" max="14855" width="8.54296875" style="118" bestFit="1" customWidth="1"/>
    <col min="14856" max="14856" width="8.453125" style="118" bestFit="1" customWidth="1"/>
    <col min="14857" max="14857" width="14.7265625" style="118" customWidth="1"/>
    <col min="14858" max="14858" width="19" style="118" customWidth="1"/>
    <col min="14859" max="14859" width="7.7265625" style="118" customWidth="1"/>
    <col min="14860" max="15108" width="9.1796875" style="118"/>
    <col min="15109" max="15109" width="4.453125" style="118" customWidth="1"/>
    <col min="15110" max="15110" width="37.26953125" style="118" customWidth="1"/>
    <col min="15111" max="15111" width="8.54296875" style="118" bestFit="1" customWidth="1"/>
    <col min="15112" max="15112" width="8.453125" style="118" bestFit="1" customWidth="1"/>
    <col min="15113" max="15113" width="14.7265625" style="118" customWidth="1"/>
    <col min="15114" max="15114" width="19" style="118" customWidth="1"/>
    <col min="15115" max="15115" width="7.7265625" style="118" customWidth="1"/>
    <col min="15116" max="15364" width="9.1796875" style="118"/>
    <col min="15365" max="15365" width="4.453125" style="118" customWidth="1"/>
    <col min="15366" max="15366" width="37.26953125" style="118" customWidth="1"/>
    <col min="15367" max="15367" width="8.54296875" style="118" bestFit="1" customWidth="1"/>
    <col min="15368" max="15368" width="8.453125" style="118" bestFit="1" customWidth="1"/>
    <col min="15369" max="15369" width="14.7265625" style="118" customWidth="1"/>
    <col min="15370" max="15370" width="19" style="118" customWidth="1"/>
    <col min="15371" max="15371" width="7.7265625" style="118" customWidth="1"/>
    <col min="15372" max="15620" width="9.1796875" style="118"/>
    <col min="15621" max="15621" width="4.453125" style="118" customWidth="1"/>
    <col min="15622" max="15622" width="37.26953125" style="118" customWidth="1"/>
    <col min="15623" max="15623" width="8.54296875" style="118" bestFit="1" customWidth="1"/>
    <col min="15624" max="15624" width="8.453125" style="118" bestFit="1" customWidth="1"/>
    <col min="15625" max="15625" width="14.7265625" style="118" customWidth="1"/>
    <col min="15626" max="15626" width="19" style="118" customWidth="1"/>
    <col min="15627" max="15627" width="7.7265625" style="118" customWidth="1"/>
    <col min="15628" max="15876" width="9.1796875" style="118"/>
    <col min="15877" max="15877" width="4.453125" style="118" customWidth="1"/>
    <col min="15878" max="15878" width="37.26953125" style="118" customWidth="1"/>
    <col min="15879" max="15879" width="8.54296875" style="118" bestFit="1" customWidth="1"/>
    <col min="15880" max="15880" width="8.453125" style="118" bestFit="1" customWidth="1"/>
    <col min="15881" max="15881" width="14.7265625" style="118" customWidth="1"/>
    <col min="15882" max="15882" width="19" style="118" customWidth="1"/>
    <col min="15883" max="15883" width="7.7265625" style="118" customWidth="1"/>
    <col min="15884" max="16132" width="9.1796875" style="118"/>
    <col min="16133" max="16133" width="4.453125" style="118" customWidth="1"/>
    <col min="16134" max="16134" width="37.26953125" style="118" customWidth="1"/>
    <col min="16135" max="16135" width="8.54296875" style="118" bestFit="1" customWidth="1"/>
    <col min="16136" max="16136" width="8.453125" style="118" bestFit="1" customWidth="1"/>
    <col min="16137" max="16137" width="14.7265625" style="118" customWidth="1"/>
    <col min="16138" max="16138" width="19" style="118" customWidth="1"/>
    <col min="16139" max="16139" width="7.7265625" style="118" customWidth="1"/>
    <col min="16140" max="16384" width="9.1796875" style="118"/>
  </cols>
  <sheetData>
    <row r="1" spans="2:22" ht="24.75" customHeight="1">
      <c r="B1" s="790" t="str">
        <f>'BQ ELEKTRIKAL'!B1:I1</f>
        <v>BILLING OF QUANTITY</v>
      </c>
      <c r="C1" s="790"/>
      <c r="D1" s="790"/>
      <c r="E1" s="790"/>
      <c r="F1" s="790"/>
      <c r="G1" s="790"/>
      <c r="H1" s="790"/>
      <c r="I1" s="790"/>
      <c r="J1" s="790"/>
    </row>
    <row r="2" spans="2:22" ht="15" customHeight="1">
      <c r="B2" s="791" t="str">
        <f>'BQ ELEKTRIKAL'!B2:I2</f>
        <v>(BOQ)</v>
      </c>
      <c r="C2" s="791"/>
      <c r="D2" s="791"/>
      <c r="E2" s="791"/>
      <c r="F2" s="791"/>
      <c r="G2" s="791"/>
      <c r="H2" s="791"/>
      <c r="I2" s="791"/>
      <c r="J2" s="791"/>
    </row>
    <row r="3" spans="2:22" ht="10.5" customHeight="1">
      <c r="B3" s="285"/>
      <c r="C3" s="285"/>
      <c r="D3" s="285"/>
      <c r="E3" s="285"/>
      <c r="F3" s="285"/>
      <c r="G3" s="285"/>
      <c r="H3" s="285"/>
      <c r="I3" s="285"/>
      <c r="J3" s="285"/>
    </row>
    <row r="4" spans="2:22" ht="15" customHeight="1">
      <c r="B4" s="698" t="s">
        <v>458</v>
      </c>
      <c r="C4" s="313"/>
      <c r="D4" s="312"/>
      <c r="E4" s="313"/>
      <c r="F4" s="740" t="s">
        <v>441</v>
      </c>
      <c r="G4" s="740"/>
      <c r="H4" s="740"/>
      <c r="I4" s="740"/>
    </row>
    <row r="5" spans="2:22" ht="15" customHeight="1">
      <c r="B5" s="698" t="s">
        <v>459</v>
      </c>
      <c r="C5" s="313"/>
      <c r="D5" s="312"/>
      <c r="E5" s="313"/>
      <c r="F5" s="740" t="s">
        <v>595</v>
      </c>
      <c r="G5" s="740"/>
      <c r="H5" s="740"/>
      <c r="I5" s="740"/>
    </row>
    <row r="6" spans="2:22" ht="15" customHeight="1">
      <c r="B6" s="698" t="s">
        <v>596</v>
      </c>
      <c r="C6" s="313"/>
      <c r="D6" s="312"/>
      <c r="E6" s="313"/>
      <c r="F6" s="740" t="s">
        <v>608</v>
      </c>
      <c r="G6" s="740"/>
      <c r="H6" s="740"/>
      <c r="I6" s="740"/>
    </row>
    <row r="7" spans="2:22" ht="12" customHeight="1">
      <c r="F7" s="222"/>
      <c r="G7" s="285"/>
    </row>
    <row r="8" spans="2:22" ht="15" customHeight="1">
      <c r="B8" s="267" t="s">
        <v>442</v>
      </c>
      <c r="C8" s="263" t="s">
        <v>424</v>
      </c>
    </row>
    <row r="9" spans="2:22" ht="18" customHeight="1">
      <c r="B9" s="794" t="s">
        <v>101</v>
      </c>
      <c r="C9" s="796" t="s">
        <v>418</v>
      </c>
      <c r="D9" s="797"/>
      <c r="E9" s="797"/>
      <c r="F9" s="798"/>
      <c r="G9" s="794" t="s">
        <v>419</v>
      </c>
      <c r="H9" s="794" t="s">
        <v>420</v>
      </c>
      <c r="I9" s="324" t="s">
        <v>409</v>
      </c>
      <c r="J9" s="324" t="s">
        <v>3</v>
      </c>
    </row>
    <row r="10" spans="2:22" ht="18" customHeight="1">
      <c r="B10" s="795"/>
      <c r="C10" s="799"/>
      <c r="D10" s="800"/>
      <c r="E10" s="800"/>
      <c r="F10" s="801"/>
      <c r="G10" s="795"/>
      <c r="H10" s="795"/>
      <c r="I10" s="325" t="s">
        <v>36</v>
      </c>
      <c r="J10" s="325" t="s">
        <v>37</v>
      </c>
    </row>
    <row r="11" spans="2:22" ht="3" customHeight="1">
      <c r="B11" s="318"/>
      <c r="C11" s="287"/>
      <c r="D11" s="288"/>
      <c r="E11" s="288"/>
      <c r="F11" s="289"/>
      <c r="G11" s="181"/>
      <c r="H11" s="270"/>
      <c r="I11" s="271"/>
      <c r="J11" s="322"/>
    </row>
    <row r="12" spans="2:22" s="101" customFormat="1" ht="15" customHeight="1">
      <c r="B12" s="290" t="s">
        <v>416</v>
      </c>
      <c r="C12" s="340"/>
      <c r="D12" s="341" t="s">
        <v>103</v>
      </c>
      <c r="E12" s="297"/>
      <c r="F12" s="300"/>
      <c r="G12" s="319"/>
      <c r="H12" s="320"/>
      <c r="I12" s="321"/>
      <c r="J12" s="184"/>
      <c r="V12" s="323"/>
    </row>
    <row r="13" spans="2:22" s="101" customFormat="1" ht="15" customHeight="1">
      <c r="B13" s="291" t="s">
        <v>423</v>
      </c>
      <c r="C13" s="291"/>
      <c r="D13" s="342" t="s">
        <v>104</v>
      </c>
      <c r="E13" s="298"/>
      <c r="F13" s="300"/>
      <c r="G13" s="293"/>
      <c r="H13" s="186"/>
      <c r="I13" s="426"/>
      <c r="J13" s="427"/>
    </row>
    <row r="14" spans="2:22" s="101" customFormat="1" ht="15" customHeight="1">
      <c r="B14" s="292"/>
      <c r="C14" s="292"/>
      <c r="D14" s="342" t="s">
        <v>105</v>
      </c>
      <c r="E14" s="299"/>
      <c r="F14" s="300"/>
      <c r="G14" s="293"/>
      <c r="H14" s="186"/>
      <c r="I14" s="426"/>
      <c r="J14" s="427"/>
    </row>
    <row r="15" spans="2:22" s="101" customFormat="1" ht="15" customHeight="1">
      <c r="B15" s="292">
        <v>1</v>
      </c>
      <c r="C15" s="291"/>
      <c r="D15" s="342" t="s">
        <v>106</v>
      </c>
      <c r="E15" s="298"/>
      <c r="F15" s="300"/>
      <c r="G15" s="294">
        <v>1</v>
      </c>
      <c r="H15" s="189" t="s">
        <v>55</v>
      </c>
      <c r="I15" s="426"/>
      <c r="J15" s="427"/>
      <c r="L15" s="192"/>
    </row>
    <row r="16" spans="2:22" s="101" customFormat="1" ht="15" customHeight="1">
      <c r="B16" s="292">
        <v>2</v>
      </c>
      <c r="C16" s="291"/>
      <c r="D16" s="343" t="s">
        <v>107</v>
      </c>
      <c r="E16" s="298"/>
      <c r="F16" s="300"/>
      <c r="G16" s="294">
        <v>2</v>
      </c>
      <c r="H16" s="189" t="s">
        <v>94</v>
      </c>
      <c r="I16" s="426"/>
      <c r="J16" s="427"/>
      <c r="L16" s="192"/>
    </row>
    <row r="17" spans="2:12" s="101" customFormat="1" ht="15" customHeight="1">
      <c r="B17" s="292">
        <v>3</v>
      </c>
      <c r="C17" s="291"/>
      <c r="D17" s="344" t="s">
        <v>108</v>
      </c>
      <c r="E17" s="298"/>
      <c r="F17" s="300"/>
      <c r="G17" s="294">
        <v>2</v>
      </c>
      <c r="H17" s="189" t="s">
        <v>94</v>
      </c>
      <c r="I17" s="426"/>
      <c r="J17" s="427"/>
      <c r="L17" s="192"/>
    </row>
    <row r="18" spans="2:12" s="101" customFormat="1" ht="15" customHeight="1">
      <c r="B18" s="292">
        <v>4</v>
      </c>
      <c r="C18" s="291"/>
      <c r="D18" s="344" t="s">
        <v>109</v>
      </c>
      <c r="E18" s="298"/>
      <c r="F18" s="300"/>
      <c r="G18" s="294">
        <v>2</v>
      </c>
      <c r="H18" s="189" t="s">
        <v>94</v>
      </c>
      <c r="I18" s="426"/>
      <c r="J18" s="427"/>
      <c r="L18" s="192"/>
    </row>
    <row r="19" spans="2:12" s="101" customFormat="1" ht="15" customHeight="1">
      <c r="B19" s="292">
        <v>5</v>
      </c>
      <c r="C19" s="291"/>
      <c r="D19" s="344" t="s">
        <v>110</v>
      </c>
      <c r="E19" s="298"/>
      <c r="F19" s="300"/>
      <c r="G19" s="294">
        <v>1</v>
      </c>
      <c r="H19" s="189" t="s">
        <v>111</v>
      </c>
      <c r="I19" s="426"/>
      <c r="J19" s="427"/>
      <c r="L19" s="192" t="s">
        <v>408</v>
      </c>
    </row>
    <row r="20" spans="2:12" s="101" customFormat="1" ht="15" customHeight="1">
      <c r="B20" s="291"/>
      <c r="C20" s="291"/>
      <c r="D20" s="345"/>
      <c r="E20" s="339"/>
      <c r="F20" s="338"/>
      <c r="G20" s="294"/>
      <c r="H20" s="189"/>
      <c r="I20" s="426"/>
      <c r="J20" s="427"/>
    </row>
    <row r="21" spans="2:12" s="101" customFormat="1" ht="15" customHeight="1">
      <c r="B21" s="292" t="s">
        <v>435</v>
      </c>
      <c r="C21" s="292"/>
      <c r="D21" s="342" t="s">
        <v>112</v>
      </c>
      <c r="E21" s="299"/>
      <c r="F21" s="300"/>
      <c r="G21" s="294"/>
      <c r="H21" s="189"/>
      <c r="I21" s="426"/>
      <c r="J21" s="427"/>
    </row>
    <row r="22" spans="2:12" s="101" customFormat="1" ht="15" customHeight="1">
      <c r="B22" s="291"/>
      <c r="C22" s="291"/>
      <c r="D22" s="342" t="s">
        <v>113</v>
      </c>
      <c r="E22" s="298"/>
      <c r="F22" s="300"/>
      <c r="G22" s="294"/>
      <c r="H22" s="189"/>
      <c r="I22" s="426"/>
      <c r="J22" s="427"/>
      <c r="K22" s="102"/>
    </row>
    <row r="23" spans="2:12" s="101" customFormat="1" ht="15" customHeight="1">
      <c r="B23" s="292">
        <v>1</v>
      </c>
      <c r="C23" s="291"/>
      <c r="D23" s="344" t="s">
        <v>114</v>
      </c>
      <c r="E23" s="298"/>
      <c r="F23" s="300"/>
      <c r="G23" s="294">
        <v>40</v>
      </c>
      <c r="H23" s="189" t="s">
        <v>93</v>
      </c>
      <c r="I23" s="426"/>
      <c r="J23" s="427"/>
      <c r="K23" s="103"/>
    </row>
    <row r="24" spans="2:12" s="101" customFormat="1" ht="15" customHeight="1">
      <c r="B24" s="292">
        <v>2</v>
      </c>
      <c r="C24" s="291"/>
      <c r="D24" s="344" t="s">
        <v>115</v>
      </c>
      <c r="E24" s="298"/>
      <c r="F24" s="300"/>
      <c r="G24" s="294">
        <v>10</v>
      </c>
      <c r="H24" s="189" t="s">
        <v>93</v>
      </c>
      <c r="I24" s="426"/>
      <c r="J24" s="427"/>
      <c r="K24" s="102"/>
    </row>
    <row r="25" spans="2:12" s="101" customFormat="1" ht="15" customHeight="1">
      <c r="B25" s="292">
        <v>3</v>
      </c>
      <c r="C25" s="291"/>
      <c r="D25" s="344" t="s">
        <v>116</v>
      </c>
      <c r="E25" s="298"/>
      <c r="F25" s="300"/>
      <c r="G25" s="294">
        <v>20</v>
      </c>
      <c r="H25" s="189" t="s">
        <v>93</v>
      </c>
      <c r="I25" s="426"/>
      <c r="J25" s="427"/>
      <c r="K25" s="102"/>
    </row>
    <row r="26" spans="2:12" s="101" customFormat="1" ht="15" customHeight="1">
      <c r="B26" s="292">
        <v>4</v>
      </c>
      <c r="C26" s="291"/>
      <c r="D26" s="344" t="s">
        <v>107</v>
      </c>
      <c r="E26" s="298"/>
      <c r="F26" s="300"/>
      <c r="G26" s="294">
        <v>2</v>
      </c>
      <c r="H26" s="189" t="s">
        <v>94</v>
      </c>
      <c r="I26" s="426"/>
      <c r="J26" s="427"/>
      <c r="K26" s="102"/>
    </row>
    <row r="27" spans="2:12" s="101" customFormat="1" ht="15" customHeight="1">
      <c r="B27" s="292">
        <v>5</v>
      </c>
      <c r="C27" s="291"/>
      <c r="D27" s="344" t="s">
        <v>110</v>
      </c>
      <c r="E27" s="298"/>
      <c r="F27" s="300"/>
      <c r="G27" s="294">
        <v>1</v>
      </c>
      <c r="H27" s="189" t="s">
        <v>111</v>
      </c>
      <c r="I27" s="426"/>
      <c r="J27" s="427"/>
      <c r="K27" s="103"/>
    </row>
    <row r="28" spans="2:12" s="101" customFormat="1" ht="15" customHeight="1">
      <c r="B28" s="217"/>
      <c r="C28" s="291"/>
      <c r="D28" s="349"/>
      <c r="E28" s="339"/>
      <c r="F28" s="362"/>
      <c r="G28" s="353"/>
      <c r="H28" s="354"/>
      <c r="I28" s="428"/>
      <c r="J28" s="429"/>
      <c r="K28" s="102"/>
    </row>
    <row r="29" spans="2:12" s="101" customFormat="1" ht="3" customHeight="1">
      <c r="B29" s="356"/>
      <c r="C29" s="352"/>
      <c r="D29" s="349"/>
      <c r="E29" s="226"/>
      <c r="F29" s="380"/>
      <c r="G29" s="382"/>
      <c r="H29" s="190"/>
      <c r="I29" s="430"/>
      <c r="J29" s="431"/>
      <c r="K29" s="102"/>
    </row>
    <row r="30" spans="2:12" s="101" customFormat="1" ht="15" customHeight="1">
      <c r="B30" s="377" t="s">
        <v>440</v>
      </c>
      <c r="C30" s="378"/>
      <c r="D30" s="223" t="s">
        <v>117</v>
      </c>
      <c r="E30" s="379"/>
      <c r="F30" s="381"/>
      <c r="G30" s="383"/>
      <c r="H30" s="384"/>
      <c r="I30" s="432"/>
      <c r="J30" s="433"/>
    </row>
    <row r="31" spans="2:12" s="101" customFormat="1" ht="15" customHeight="1">
      <c r="B31" s="248"/>
      <c r="C31" s="216"/>
      <c r="D31" s="224" t="s">
        <v>118</v>
      </c>
      <c r="E31" s="261"/>
      <c r="F31" s="261"/>
      <c r="G31" s="243"/>
      <c r="H31" s="244"/>
      <c r="I31" s="434"/>
      <c r="J31" s="435"/>
    </row>
    <row r="32" spans="2:12" s="101" customFormat="1" ht="15" customHeight="1">
      <c r="B32" s="248"/>
      <c r="C32" s="216"/>
      <c r="D32" s="224" t="s">
        <v>119</v>
      </c>
      <c r="E32" s="261"/>
      <c r="F32" s="261"/>
      <c r="G32" s="243"/>
      <c r="H32" s="244"/>
      <c r="I32" s="434"/>
      <c r="J32" s="435"/>
      <c r="K32" s="104"/>
    </row>
    <row r="33" spans="2:17" s="101" customFormat="1" ht="15" customHeight="1">
      <c r="B33" s="187">
        <v>1</v>
      </c>
      <c r="C33" s="216"/>
      <c r="D33" s="225" t="s">
        <v>120</v>
      </c>
      <c r="E33" s="261"/>
      <c r="F33" s="261"/>
      <c r="G33" s="243">
        <v>30</v>
      </c>
      <c r="H33" s="244" t="s">
        <v>93</v>
      </c>
      <c r="I33" s="434"/>
      <c r="J33" s="435"/>
      <c r="K33" s="104"/>
    </row>
    <row r="34" spans="2:17" s="101" customFormat="1" ht="15" customHeight="1">
      <c r="B34" s="187">
        <v>2</v>
      </c>
      <c r="C34" s="216"/>
      <c r="D34" s="225" t="s">
        <v>121</v>
      </c>
      <c r="E34" s="261"/>
      <c r="F34" s="261"/>
      <c r="G34" s="243">
        <v>18</v>
      </c>
      <c r="H34" s="244" t="s">
        <v>93</v>
      </c>
      <c r="I34" s="434"/>
      <c r="J34" s="435"/>
      <c r="K34" s="104"/>
    </row>
    <row r="35" spans="2:17" s="101" customFormat="1" ht="15" customHeight="1">
      <c r="B35" s="187">
        <v>3</v>
      </c>
      <c r="C35" s="216"/>
      <c r="D35" s="225" t="s">
        <v>122</v>
      </c>
      <c r="E35" s="261"/>
      <c r="F35" s="261"/>
      <c r="G35" s="243">
        <v>32</v>
      </c>
      <c r="H35" s="244" t="s">
        <v>93</v>
      </c>
      <c r="I35" s="434"/>
      <c r="J35" s="435"/>
      <c r="K35" s="104"/>
    </row>
    <row r="36" spans="2:17" s="101" customFormat="1" ht="15" customHeight="1">
      <c r="B36" s="187">
        <v>4</v>
      </c>
      <c r="C36" s="216"/>
      <c r="D36" s="225" t="s">
        <v>123</v>
      </c>
      <c r="E36" s="261"/>
      <c r="F36" s="261"/>
      <c r="G36" s="243">
        <v>4</v>
      </c>
      <c r="H36" s="244" t="s">
        <v>94</v>
      </c>
      <c r="I36" s="434"/>
      <c r="J36" s="435"/>
    </row>
    <row r="37" spans="2:17" s="101" customFormat="1" ht="15" customHeight="1">
      <c r="B37" s="187">
        <v>5</v>
      </c>
      <c r="C37" s="216"/>
      <c r="D37" s="225" t="s">
        <v>110</v>
      </c>
      <c r="E37" s="261"/>
      <c r="F37" s="261"/>
      <c r="G37" s="243">
        <v>1</v>
      </c>
      <c r="H37" s="244" t="s">
        <v>111</v>
      </c>
      <c r="I37" s="434"/>
      <c r="J37" s="435"/>
    </row>
    <row r="38" spans="2:17" s="101" customFormat="1" ht="15" customHeight="1">
      <c r="B38" s="250"/>
      <c r="C38" s="251"/>
      <c r="D38" s="253"/>
      <c r="E38" s="253"/>
      <c r="F38" s="262"/>
      <c r="G38" s="255"/>
      <c r="H38" s="256"/>
      <c r="I38" s="436"/>
      <c r="J38" s="437"/>
      <c r="K38" s="105"/>
    </row>
    <row r="39" spans="2:17" s="101" customFormat="1" ht="15" customHeight="1">
      <c r="B39" s="191"/>
      <c r="C39" s="218"/>
      <c r="D39" s="227"/>
      <c r="E39" s="227"/>
      <c r="F39" s="792" t="s">
        <v>444</v>
      </c>
      <c r="G39" s="792"/>
      <c r="H39" s="792"/>
      <c r="I39" s="793"/>
      <c r="J39" s="453">
        <f>SUM(J15:J38)</f>
        <v>0</v>
      </c>
      <c r="K39" s="105"/>
    </row>
    <row r="40" spans="2:17" s="101" customFormat="1" ht="3" customHeight="1">
      <c r="B40" s="235"/>
      <c r="C40" s="236"/>
      <c r="D40" s="237"/>
      <c r="E40" s="237"/>
      <c r="F40" s="257"/>
      <c r="G40" s="238"/>
      <c r="H40" s="239"/>
      <c r="I40" s="240"/>
      <c r="J40" s="258"/>
      <c r="K40" s="105"/>
    </row>
    <row r="41" spans="2:17" s="107" customFormat="1" ht="15" customHeight="1">
      <c r="B41" s="241" t="s">
        <v>436</v>
      </c>
      <c r="C41" s="220"/>
      <c r="D41" s="259" t="s">
        <v>124</v>
      </c>
      <c r="E41" s="242"/>
      <c r="F41" s="242"/>
      <c r="G41" s="260"/>
      <c r="H41" s="221"/>
      <c r="I41" s="438"/>
      <c r="J41" s="439"/>
      <c r="K41" s="106"/>
      <c r="L41" s="106"/>
    </row>
    <row r="42" spans="2:17" s="107" customFormat="1" ht="15" customHeight="1">
      <c r="B42" s="247">
        <v>1</v>
      </c>
      <c r="C42" s="219"/>
      <c r="D42" s="234" t="s">
        <v>141</v>
      </c>
      <c r="E42" s="242"/>
      <c r="F42" s="242"/>
      <c r="G42" s="243"/>
      <c r="H42" s="244"/>
      <c r="I42" s="438"/>
      <c r="J42" s="439"/>
      <c r="K42" s="106"/>
      <c r="L42" s="106"/>
    </row>
    <row r="43" spans="2:17" s="107" customFormat="1" ht="15" customHeight="1">
      <c r="B43" s="248"/>
      <c r="C43" s="216"/>
      <c r="D43" s="233" t="s">
        <v>142</v>
      </c>
      <c r="E43" s="242"/>
      <c r="F43" s="242"/>
      <c r="G43" s="243"/>
      <c r="H43" s="244"/>
      <c r="I43" s="438"/>
      <c r="J43" s="439"/>
      <c r="K43" s="106"/>
      <c r="L43" s="106"/>
    </row>
    <row r="44" spans="2:17" s="107" customFormat="1" ht="15" customHeight="1">
      <c r="B44" s="248"/>
      <c r="C44" s="216"/>
      <c r="D44" s="233" t="s">
        <v>143</v>
      </c>
      <c r="E44" s="242"/>
      <c r="F44" s="242"/>
      <c r="G44" s="243"/>
      <c r="H44" s="244"/>
      <c r="I44" s="438"/>
      <c r="J44" s="439"/>
      <c r="K44" s="106"/>
      <c r="L44" s="108">
        <v>1</v>
      </c>
      <c r="M44" s="109" t="s">
        <v>125</v>
      </c>
      <c r="N44" s="110"/>
      <c r="O44" s="111"/>
      <c r="P44" s="112"/>
      <c r="Q44" s="113"/>
    </row>
    <row r="45" spans="2:17" s="107" customFormat="1" ht="15" customHeight="1">
      <c r="B45" s="187">
        <v>1</v>
      </c>
      <c r="C45" s="216"/>
      <c r="D45" s="233" t="s">
        <v>144</v>
      </c>
      <c r="E45" s="242"/>
      <c r="F45" s="242"/>
      <c r="G45" s="243">
        <v>105</v>
      </c>
      <c r="H45" s="244" t="s">
        <v>93</v>
      </c>
      <c r="I45" s="438"/>
      <c r="J45" s="439"/>
      <c r="K45" s="106"/>
      <c r="L45" s="108"/>
      <c r="M45" s="114" t="s">
        <v>126</v>
      </c>
      <c r="N45" s="115"/>
      <c r="O45" s="111"/>
      <c r="P45" s="112"/>
      <c r="Q45" s="116"/>
    </row>
    <row r="46" spans="2:17" s="107" customFormat="1" ht="15" customHeight="1">
      <c r="B46" s="187">
        <v>2</v>
      </c>
      <c r="C46" s="216"/>
      <c r="D46" s="233" t="s">
        <v>145</v>
      </c>
      <c r="E46" s="242"/>
      <c r="F46" s="242"/>
      <c r="G46" s="243">
        <v>14</v>
      </c>
      <c r="H46" s="244" t="s">
        <v>93</v>
      </c>
      <c r="I46" s="438"/>
      <c r="J46" s="439"/>
      <c r="K46" s="106"/>
      <c r="L46" s="108">
        <v>1.1000000000000001</v>
      </c>
      <c r="M46" s="114" t="s">
        <v>127</v>
      </c>
      <c r="N46" s="115">
        <v>1</v>
      </c>
      <c r="O46" s="111" t="s">
        <v>55</v>
      </c>
      <c r="P46" s="112">
        <f>'[3]ANL.MKL (2)'!J208</f>
        <v>392885350</v>
      </c>
      <c r="Q46" s="116"/>
    </row>
    <row r="47" spans="2:17" s="107" customFormat="1" ht="15" customHeight="1">
      <c r="B47" s="187">
        <v>3</v>
      </c>
      <c r="C47" s="216"/>
      <c r="D47" s="233" t="s">
        <v>412</v>
      </c>
      <c r="E47" s="242"/>
      <c r="F47" s="242"/>
      <c r="G47" s="243">
        <v>1</v>
      </c>
      <c r="H47" s="244" t="s">
        <v>94</v>
      </c>
      <c r="I47" s="438"/>
      <c r="J47" s="439"/>
      <c r="K47" s="106"/>
      <c r="L47" s="108"/>
      <c r="M47" s="114" t="s">
        <v>128</v>
      </c>
      <c r="N47" s="115"/>
      <c r="O47" s="111"/>
      <c r="P47" s="112"/>
      <c r="Q47" s="116"/>
    </row>
    <row r="48" spans="2:17" s="107" customFormat="1" ht="15" customHeight="1">
      <c r="B48" s="187">
        <v>4</v>
      </c>
      <c r="C48" s="216"/>
      <c r="D48" s="233" t="s">
        <v>413</v>
      </c>
      <c r="E48" s="242"/>
      <c r="F48" s="242"/>
      <c r="G48" s="243">
        <v>1</v>
      </c>
      <c r="H48" s="244" t="s">
        <v>94</v>
      </c>
      <c r="I48" s="438"/>
      <c r="J48" s="439"/>
      <c r="K48" s="106"/>
      <c r="L48" s="108"/>
      <c r="M48" s="114" t="s">
        <v>129</v>
      </c>
      <c r="N48" s="115"/>
      <c r="O48" s="111"/>
      <c r="P48" s="112"/>
      <c r="Q48" s="116"/>
    </row>
    <row r="49" spans="2:17" s="107" customFormat="1" ht="15" customHeight="1">
      <c r="B49" s="187">
        <v>5</v>
      </c>
      <c r="C49" s="216"/>
      <c r="D49" s="233" t="s">
        <v>414</v>
      </c>
      <c r="E49" s="242"/>
      <c r="F49" s="242"/>
      <c r="G49" s="243">
        <v>1</v>
      </c>
      <c r="H49" s="244" t="s">
        <v>55</v>
      </c>
      <c r="I49" s="438"/>
      <c r="J49" s="439"/>
      <c r="K49" s="106"/>
      <c r="L49" s="108"/>
      <c r="M49" s="114" t="s">
        <v>130</v>
      </c>
      <c r="N49" s="115"/>
      <c r="O49" s="111"/>
      <c r="P49" s="112"/>
      <c r="Q49" s="116"/>
    </row>
    <row r="50" spans="2:17" s="107" customFormat="1" ht="15" customHeight="1">
      <c r="B50" s="187">
        <v>6</v>
      </c>
      <c r="C50" s="216"/>
      <c r="D50" s="233" t="s">
        <v>415</v>
      </c>
      <c r="E50" s="242"/>
      <c r="F50" s="242"/>
      <c r="G50" s="243">
        <v>1</v>
      </c>
      <c r="H50" s="244" t="s">
        <v>55</v>
      </c>
      <c r="I50" s="438"/>
      <c r="J50" s="439"/>
      <c r="K50" s="106"/>
      <c r="L50" s="108"/>
      <c r="M50" s="114" t="s">
        <v>131</v>
      </c>
      <c r="N50" s="115"/>
      <c r="O50" s="111"/>
      <c r="P50" s="112"/>
      <c r="Q50" s="116"/>
    </row>
    <row r="51" spans="2:17" s="107" customFormat="1" ht="15" customHeight="1">
      <c r="B51" s="185"/>
      <c r="C51" s="216"/>
      <c r="D51" s="228"/>
      <c r="E51" s="228"/>
      <c r="F51" s="225"/>
      <c r="G51" s="188"/>
      <c r="H51" s="189"/>
      <c r="I51" s="440"/>
      <c r="J51" s="441"/>
      <c r="K51" s="106"/>
      <c r="L51" s="108">
        <v>1.2</v>
      </c>
      <c r="M51" s="114" t="s">
        <v>132</v>
      </c>
      <c r="N51" s="115">
        <v>1</v>
      </c>
      <c r="O51" s="111" t="s">
        <v>55</v>
      </c>
      <c r="P51" s="112">
        <f>'[3]ANL.MKL (2)'!J239</f>
        <v>258843200</v>
      </c>
      <c r="Q51" s="116"/>
    </row>
    <row r="52" spans="2:17" s="107" customFormat="1" ht="15" customHeight="1">
      <c r="B52" s="247">
        <v>2</v>
      </c>
      <c r="C52" s="219"/>
      <c r="D52" s="232" t="s">
        <v>146</v>
      </c>
      <c r="E52" s="229"/>
      <c r="F52" s="242"/>
      <c r="G52" s="243">
        <v>2</v>
      </c>
      <c r="H52" s="244" t="s">
        <v>17</v>
      </c>
      <c r="I52" s="438"/>
      <c r="J52" s="439"/>
      <c r="K52" s="106"/>
      <c r="L52" s="108"/>
      <c r="M52" s="114" t="s">
        <v>128</v>
      </c>
      <c r="N52" s="115"/>
      <c r="O52" s="111"/>
      <c r="P52" s="112"/>
      <c r="Q52" s="116"/>
    </row>
    <row r="53" spans="2:17" s="107" customFormat="1" ht="15" customHeight="1">
      <c r="B53" s="248"/>
      <c r="C53" s="216"/>
      <c r="D53" s="225" t="s">
        <v>147</v>
      </c>
      <c r="E53" s="228"/>
      <c r="F53" s="242"/>
      <c r="G53" s="243"/>
      <c r="H53" s="244"/>
      <c r="I53" s="438"/>
      <c r="J53" s="439"/>
      <c r="K53" s="106"/>
      <c r="L53" s="108"/>
      <c r="M53" s="114" t="s">
        <v>133</v>
      </c>
      <c r="N53" s="115"/>
      <c r="O53" s="111"/>
      <c r="P53" s="112"/>
      <c r="Q53" s="116"/>
    </row>
    <row r="54" spans="2:17" s="107" customFormat="1" ht="15" customHeight="1">
      <c r="B54" s="248"/>
      <c r="C54" s="216"/>
      <c r="D54" s="225" t="s">
        <v>148</v>
      </c>
      <c r="E54" s="228"/>
      <c r="F54" s="242"/>
      <c r="G54" s="243"/>
      <c r="H54" s="244"/>
      <c r="I54" s="438"/>
      <c r="J54" s="439"/>
      <c r="K54" s="106"/>
      <c r="L54" s="108"/>
      <c r="M54" s="114" t="s">
        <v>134</v>
      </c>
      <c r="N54" s="115"/>
      <c r="O54" s="111"/>
      <c r="P54" s="112"/>
      <c r="Q54" s="116"/>
    </row>
    <row r="55" spans="2:17" s="107" customFormat="1" ht="15" customHeight="1">
      <c r="B55" s="248"/>
      <c r="C55" s="216"/>
      <c r="D55" s="225" t="s">
        <v>149</v>
      </c>
      <c r="E55" s="228"/>
      <c r="F55" s="242"/>
      <c r="G55" s="243"/>
      <c r="H55" s="244"/>
      <c r="I55" s="438"/>
      <c r="J55" s="439"/>
      <c r="K55" s="106"/>
      <c r="L55" s="108"/>
      <c r="M55" s="114" t="s">
        <v>135</v>
      </c>
      <c r="N55" s="115"/>
      <c r="O55" s="111"/>
      <c r="P55" s="112"/>
      <c r="Q55" s="116"/>
    </row>
    <row r="56" spans="2:17" s="107" customFormat="1" ht="15" customHeight="1">
      <c r="B56" s="248"/>
      <c r="C56" s="216"/>
      <c r="D56" s="225" t="s">
        <v>150</v>
      </c>
      <c r="E56" s="228"/>
      <c r="F56" s="242"/>
      <c r="G56" s="243"/>
      <c r="H56" s="244"/>
      <c r="I56" s="438"/>
      <c r="J56" s="439"/>
      <c r="K56" s="106"/>
      <c r="L56" s="108"/>
      <c r="M56" s="114" t="s">
        <v>136</v>
      </c>
      <c r="N56" s="115"/>
      <c r="O56" s="111"/>
      <c r="P56" s="112"/>
      <c r="Q56" s="116"/>
    </row>
    <row r="57" spans="2:17" s="107" customFormat="1" ht="15" customHeight="1">
      <c r="B57" s="248"/>
      <c r="C57" s="216"/>
      <c r="D57" s="225" t="s">
        <v>151</v>
      </c>
      <c r="E57" s="228"/>
      <c r="F57" s="242"/>
      <c r="G57" s="243"/>
      <c r="H57" s="244"/>
      <c r="I57" s="438"/>
      <c r="J57" s="439"/>
      <c r="K57" s="106"/>
      <c r="L57" s="108"/>
      <c r="M57" s="114"/>
      <c r="N57" s="115"/>
      <c r="O57" s="111"/>
      <c r="P57" s="112"/>
      <c r="Q57" s="116"/>
    </row>
    <row r="58" spans="2:17" s="107" customFormat="1" ht="15" customHeight="1">
      <c r="B58" s="248"/>
      <c r="C58" s="216"/>
      <c r="D58" s="225" t="s">
        <v>152</v>
      </c>
      <c r="E58" s="228"/>
      <c r="F58" s="242"/>
      <c r="G58" s="243"/>
      <c r="H58" s="244"/>
      <c r="I58" s="438"/>
      <c r="J58" s="439"/>
      <c r="K58" s="106"/>
      <c r="L58" s="108">
        <v>1.3</v>
      </c>
      <c r="M58" s="114" t="s">
        <v>137</v>
      </c>
      <c r="N58" s="115">
        <v>1</v>
      </c>
      <c r="O58" s="111" t="s">
        <v>55</v>
      </c>
      <c r="P58" s="112">
        <f>'[3]ANL.MKL (2)'!J223</f>
        <v>63174717.693999998</v>
      </c>
      <c r="Q58" s="116"/>
    </row>
    <row r="59" spans="2:17" s="107" customFormat="1" ht="15" customHeight="1">
      <c r="B59" s="248"/>
      <c r="C59" s="216"/>
      <c r="D59" s="225" t="s">
        <v>143</v>
      </c>
      <c r="E59" s="228"/>
      <c r="F59" s="242"/>
      <c r="G59" s="243"/>
      <c r="H59" s="244"/>
      <c r="I59" s="438"/>
      <c r="J59" s="439"/>
      <c r="K59" s="106"/>
      <c r="L59" s="108"/>
      <c r="M59" s="114" t="s">
        <v>138</v>
      </c>
      <c r="N59" s="115"/>
      <c r="O59" s="111"/>
      <c r="P59" s="112"/>
      <c r="Q59" s="116"/>
    </row>
    <row r="60" spans="2:17" s="107" customFormat="1" ht="15" customHeight="1">
      <c r="B60" s="247">
        <v>3</v>
      </c>
      <c r="C60" s="219"/>
      <c r="D60" s="232" t="s">
        <v>153</v>
      </c>
      <c r="E60" s="229"/>
      <c r="F60" s="242"/>
      <c r="G60" s="243">
        <v>9</v>
      </c>
      <c r="H60" s="244" t="s">
        <v>94</v>
      </c>
      <c r="I60" s="438"/>
      <c r="J60" s="439"/>
      <c r="K60" s="106"/>
      <c r="L60" s="108"/>
      <c r="M60" s="114"/>
      <c r="N60" s="115"/>
      <c r="O60" s="111"/>
      <c r="P60" s="112"/>
      <c r="Q60" s="116"/>
    </row>
    <row r="61" spans="2:17" s="107" customFormat="1" ht="15" customHeight="1">
      <c r="B61" s="248"/>
      <c r="C61" s="216"/>
      <c r="D61" s="225"/>
      <c r="E61" s="228"/>
      <c r="F61" s="242"/>
      <c r="G61" s="243"/>
      <c r="H61" s="244"/>
      <c r="I61" s="438"/>
      <c r="J61" s="439"/>
      <c r="K61" s="106"/>
      <c r="L61" s="108">
        <v>1</v>
      </c>
      <c r="M61" s="114" t="s">
        <v>139</v>
      </c>
      <c r="N61" s="115"/>
      <c r="O61" s="111"/>
      <c r="P61" s="117"/>
      <c r="Q61" s="116"/>
    </row>
    <row r="62" spans="2:17" s="107" customFormat="1" ht="15" customHeight="1">
      <c r="B62" s="247">
        <v>4</v>
      </c>
      <c r="C62" s="219"/>
      <c r="D62" s="232" t="s">
        <v>154</v>
      </c>
      <c r="E62" s="229"/>
      <c r="F62" s="242"/>
      <c r="G62" s="243"/>
      <c r="H62" s="244"/>
      <c r="I62" s="438"/>
      <c r="J62" s="439"/>
      <c r="K62" s="106"/>
      <c r="L62" s="108">
        <v>1.1000000000000001</v>
      </c>
      <c r="M62" s="114" t="str">
        <f>'[3]BH.MKNKL (2)'!D50</f>
        <v xml:space="preserve">foot valve 10K   2" (50 mm) </v>
      </c>
      <c r="N62" s="115">
        <v>2</v>
      </c>
      <c r="O62" s="111" t="s">
        <v>94</v>
      </c>
      <c r="P62" s="112">
        <f>'[3]ANL.MKL (2)'!J254</f>
        <v>2783880</v>
      </c>
      <c r="Q62" s="113"/>
    </row>
    <row r="63" spans="2:17" s="107" customFormat="1" ht="15" customHeight="1">
      <c r="B63" s="356"/>
      <c r="C63" s="291"/>
      <c r="D63" s="351" t="s">
        <v>155</v>
      </c>
      <c r="E63" s="339"/>
      <c r="F63" s="357"/>
      <c r="G63" s="359"/>
      <c r="H63" s="360"/>
      <c r="I63" s="442"/>
      <c r="J63" s="443"/>
      <c r="K63" s="106"/>
      <c r="L63" s="108">
        <f t="shared" ref="L63:L68" si="0">L62+0.1</f>
        <v>1.2000000000000002</v>
      </c>
      <c r="M63" s="114" t="str">
        <f>'[3]BH.MKNKL (2)'!D51</f>
        <v xml:space="preserve">foot valve 10K   4" (100 mm) </v>
      </c>
      <c r="N63" s="115">
        <v>2</v>
      </c>
      <c r="O63" s="111" t="s">
        <v>94</v>
      </c>
      <c r="P63" s="112">
        <f>'[3]ANL.MKL (2)'!J269</f>
        <v>5000380</v>
      </c>
      <c r="Q63" s="113"/>
    </row>
    <row r="64" spans="2:17" s="107" customFormat="1" ht="15" customHeight="1">
      <c r="B64" s="348"/>
      <c r="C64" s="295"/>
      <c r="D64" s="315" t="s">
        <v>143</v>
      </c>
      <c r="E64" s="296"/>
      <c r="F64" s="358"/>
      <c r="G64" s="353"/>
      <c r="H64" s="354"/>
      <c r="I64" s="444"/>
      <c r="J64" s="445"/>
      <c r="K64" s="106"/>
      <c r="L64" s="108">
        <f t="shared" si="0"/>
        <v>1.3000000000000003</v>
      </c>
      <c r="M64" s="114" t="str">
        <f>'[3]BH.MKNKL (2)'!D52</f>
        <v>Safety Valve 21/2"</v>
      </c>
      <c r="N64" s="115">
        <v>1</v>
      </c>
      <c r="O64" s="111" t="s">
        <v>94</v>
      </c>
      <c r="P64" s="112">
        <f>'[3]BH.MKNKL (2)'!G52</f>
        <v>10000000</v>
      </c>
      <c r="Q64" s="113"/>
    </row>
    <row r="65" spans="2:17" s="107" customFormat="1" ht="15" customHeight="1">
      <c r="B65" s="248">
        <v>1.1000000000000001</v>
      </c>
      <c r="C65" s="216"/>
      <c r="D65" s="225" t="s">
        <v>156</v>
      </c>
      <c r="E65" s="228"/>
      <c r="F65" s="242"/>
      <c r="G65" s="243">
        <v>86</v>
      </c>
      <c r="H65" s="244" t="s">
        <v>93</v>
      </c>
      <c r="I65" s="438"/>
      <c r="J65" s="439"/>
      <c r="K65" s="106"/>
      <c r="L65" s="108">
        <f t="shared" si="0"/>
        <v>1.4000000000000004</v>
      </c>
      <c r="M65" s="114" t="str">
        <f>'[3]BH.MKNKL (2)'!D63</f>
        <v>Auto airfan</v>
      </c>
      <c r="N65" s="115">
        <v>1</v>
      </c>
      <c r="O65" s="111" t="s">
        <v>94</v>
      </c>
      <c r="P65" s="112">
        <f>'[3]ANL.MKL (2)'!J299</f>
        <v>1881880</v>
      </c>
      <c r="Q65" s="113"/>
    </row>
    <row r="66" spans="2:17" s="107" customFormat="1" ht="15" customHeight="1">
      <c r="B66" s="248">
        <v>1.2000000000000002</v>
      </c>
      <c r="C66" s="216"/>
      <c r="D66" s="225" t="s">
        <v>157</v>
      </c>
      <c r="E66" s="228"/>
      <c r="F66" s="242"/>
      <c r="G66" s="243">
        <v>15</v>
      </c>
      <c r="H66" s="244" t="s">
        <v>93</v>
      </c>
      <c r="I66" s="438"/>
      <c r="J66" s="439"/>
      <c r="K66" s="106"/>
      <c r="L66" s="108">
        <f t="shared" si="0"/>
        <v>1.5000000000000004</v>
      </c>
      <c r="M66" s="114" t="str">
        <f>'[3]BH.MKNKL (2)'!D64</f>
        <v>Alarm gong</v>
      </c>
      <c r="N66" s="115">
        <v>1</v>
      </c>
      <c r="O66" s="111" t="s">
        <v>94</v>
      </c>
      <c r="P66" s="112">
        <f>'[3]ANL.MKL (2)'!J314</f>
        <v>19271340</v>
      </c>
      <c r="Q66" s="113"/>
    </row>
    <row r="67" spans="2:17" s="107" customFormat="1" ht="15" customHeight="1">
      <c r="B67" s="248">
        <v>1.3000000000000003</v>
      </c>
      <c r="C67" s="216"/>
      <c r="D67" s="225" t="s">
        <v>158</v>
      </c>
      <c r="E67" s="228"/>
      <c r="F67" s="242"/>
      <c r="G67" s="243">
        <v>20</v>
      </c>
      <c r="H67" s="244" t="s">
        <v>93</v>
      </c>
      <c r="I67" s="438"/>
      <c r="J67" s="439"/>
      <c r="K67" s="106"/>
      <c r="L67" s="108">
        <f t="shared" si="0"/>
        <v>1.6000000000000005</v>
      </c>
      <c r="M67" s="114" t="str">
        <f>'[3]BH.MKNKL (2)'!D65</f>
        <v>fresure tank 200 ltr</v>
      </c>
      <c r="N67" s="115">
        <v>1</v>
      </c>
      <c r="O67" s="111" t="s">
        <v>94</v>
      </c>
      <c r="P67" s="112">
        <f>'[3]ANL.MKL (2)'!J329</f>
        <v>12341340</v>
      </c>
      <c r="Q67" s="113"/>
    </row>
    <row r="68" spans="2:17" s="107" customFormat="1" ht="15" customHeight="1">
      <c r="B68" s="248">
        <v>1.4000000000000004</v>
      </c>
      <c r="C68" s="216"/>
      <c r="D68" s="225" t="s">
        <v>159</v>
      </c>
      <c r="E68" s="228"/>
      <c r="F68" s="242"/>
      <c r="G68" s="243">
        <v>8</v>
      </c>
      <c r="H68" s="244" t="s">
        <v>93</v>
      </c>
      <c r="I68" s="438"/>
      <c r="J68" s="439"/>
      <c r="K68" s="106"/>
      <c r="L68" s="108">
        <f t="shared" si="0"/>
        <v>1.7000000000000006</v>
      </c>
      <c r="M68" s="114" t="s">
        <v>140</v>
      </c>
      <c r="N68" s="115">
        <v>1</v>
      </c>
      <c r="O68" s="111" t="s">
        <v>111</v>
      </c>
      <c r="P68" s="112">
        <f>SUM(Q46:Q67)*10%</f>
        <v>0</v>
      </c>
      <c r="Q68" s="113"/>
    </row>
    <row r="69" spans="2:17" s="107" customFormat="1" ht="15" customHeight="1">
      <c r="B69" s="248">
        <v>1.5000000000000004</v>
      </c>
      <c r="C69" s="216"/>
      <c r="D69" s="225" t="s">
        <v>160</v>
      </c>
      <c r="E69" s="228"/>
      <c r="F69" s="242"/>
      <c r="G69" s="243">
        <v>15</v>
      </c>
      <c r="H69" s="244" t="s">
        <v>93</v>
      </c>
      <c r="I69" s="438"/>
      <c r="J69" s="439"/>
      <c r="K69" s="106"/>
    </row>
    <row r="70" spans="2:17" s="107" customFormat="1" ht="15" customHeight="1">
      <c r="B70" s="248">
        <v>1.6000000000000005</v>
      </c>
      <c r="C70" s="216"/>
      <c r="D70" s="225" t="s">
        <v>161</v>
      </c>
      <c r="E70" s="228"/>
      <c r="F70" s="242"/>
      <c r="G70" s="243">
        <v>38</v>
      </c>
      <c r="H70" s="244" t="s">
        <v>94</v>
      </c>
      <c r="I70" s="438"/>
      <c r="J70" s="439"/>
      <c r="K70" s="106"/>
    </row>
    <row r="71" spans="2:17" s="107" customFormat="1" ht="15" customHeight="1">
      <c r="B71" s="248">
        <v>1.7000000000000006</v>
      </c>
      <c r="C71" s="216"/>
      <c r="D71" s="225" t="s">
        <v>411</v>
      </c>
      <c r="E71" s="228"/>
      <c r="F71" s="242"/>
      <c r="G71" s="243">
        <v>1</v>
      </c>
      <c r="H71" s="244" t="s">
        <v>94</v>
      </c>
      <c r="I71" s="438"/>
      <c r="J71" s="439"/>
      <c r="K71" s="106"/>
    </row>
    <row r="72" spans="2:17" s="107" customFormat="1" ht="15" customHeight="1">
      <c r="B72" s="248"/>
      <c r="C72" s="216"/>
      <c r="D72" s="228"/>
      <c r="E72" s="228"/>
      <c r="F72" s="225"/>
      <c r="G72" s="243"/>
      <c r="H72" s="244"/>
      <c r="I72" s="438"/>
      <c r="J72" s="439"/>
      <c r="K72" s="106"/>
    </row>
    <row r="73" spans="2:17" s="107" customFormat="1" ht="15" customHeight="1">
      <c r="B73" s="247">
        <v>5</v>
      </c>
      <c r="C73" s="219"/>
      <c r="D73" s="232" t="s">
        <v>162</v>
      </c>
      <c r="E73" s="229"/>
      <c r="F73" s="242"/>
      <c r="G73" s="243">
        <v>2</v>
      </c>
      <c r="H73" s="244" t="s">
        <v>17</v>
      </c>
      <c r="I73" s="438"/>
      <c r="J73" s="439"/>
      <c r="K73" s="106"/>
    </row>
    <row r="74" spans="2:17" s="107" customFormat="1" ht="15" customHeight="1">
      <c r="B74" s="248"/>
      <c r="C74" s="216"/>
      <c r="D74" s="225" t="s">
        <v>147</v>
      </c>
      <c r="E74" s="228"/>
      <c r="F74" s="242"/>
      <c r="G74" s="243"/>
      <c r="H74" s="244"/>
      <c r="I74" s="438"/>
      <c r="J74" s="439"/>
      <c r="K74" s="106"/>
    </row>
    <row r="75" spans="2:17" s="107" customFormat="1" ht="15" customHeight="1">
      <c r="B75" s="248"/>
      <c r="C75" s="216"/>
      <c r="D75" s="225" t="s">
        <v>148</v>
      </c>
      <c r="E75" s="228"/>
      <c r="F75" s="242"/>
      <c r="G75" s="243"/>
      <c r="H75" s="244"/>
      <c r="I75" s="438"/>
      <c r="J75" s="439"/>
      <c r="K75" s="106"/>
    </row>
    <row r="76" spans="2:17" s="107" customFormat="1" ht="15" customHeight="1">
      <c r="B76" s="248"/>
      <c r="C76" s="216"/>
      <c r="D76" s="225" t="s">
        <v>149</v>
      </c>
      <c r="E76" s="228"/>
      <c r="F76" s="242"/>
      <c r="G76" s="243"/>
      <c r="H76" s="244"/>
      <c r="I76" s="438"/>
      <c r="J76" s="439"/>
      <c r="K76" s="106"/>
      <c r="L76" s="106"/>
    </row>
    <row r="77" spans="2:17" s="107" customFormat="1" ht="15" customHeight="1">
      <c r="B77" s="248"/>
      <c r="C77" s="216"/>
      <c r="D77" s="225" t="s">
        <v>150</v>
      </c>
      <c r="E77" s="228"/>
      <c r="F77" s="242"/>
      <c r="G77" s="243"/>
      <c r="H77" s="244"/>
      <c r="I77" s="438"/>
      <c r="J77" s="439"/>
      <c r="K77" s="106"/>
      <c r="L77" s="106"/>
    </row>
    <row r="78" spans="2:17" s="107" customFormat="1" ht="15" customHeight="1">
      <c r="B78" s="248"/>
      <c r="C78" s="216"/>
      <c r="D78" s="225" t="s">
        <v>151</v>
      </c>
      <c r="E78" s="228"/>
      <c r="F78" s="242"/>
      <c r="G78" s="243"/>
      <c r="H78" s="244"/>
      <c r="I78" s="438"/>
      <c r="J78" s="439"/>
      <c r="K78" s="106"/>
      <c r="L78" s="106"/>
    </row>
    <row r="79" spans="2:17" s="107" customFormat="1" ht="15" customHeight="1">
      <c r="B79" s="248"/>
      <c r="C79" s="216"/>
      <c r="D79" s="225" t="s">
        <v>152</v>
      </c>
      <c r="E79" s="228"/>
      <c r="F79" s="242"/>
      <c r="G79" s="243"/>
      <c r="H79" s="244"/>
      <c r="I79" s="438"/>
      <c r="J79" s="439"/>
      <c r="K79" s="106"/>
      <c r="L79" s="106"/>
    </row>
    <row r="80" spans="2:17" s="107" customFormat="1" ht="15" customHeight="1">
      <c r="B80" s="248"/>
      <c r="C80" s="216"/>
      <c r="D80" s="225" t="s">
        <v>143</v>
      </c>
      <c r="E80" s="228"/>
      <c r="F80" s="242"/>
      <c r="G80" s="243"/>
      <c r="H80" s="244"/>
      <c r="I80" s="438"/>
      <c r="J80" s="439"/>
      <c r="K80" s="106"/>
      <c r="L80" s="106"/>
    </row>
    <row r="81" spans="2:12" s="107" customFormat="1" ht="15" customHeight="1">
      <c r="B81" s="248"/>
      <c r="C81" s="216"/>
      <c r="D81" s="225"/>
      <c r="E81" s="228"/>
      <c r="F81" s="242"/>
      <c r="G81" s="243"/>
      <c r="H81" s="244"/>
      <c r="I81" s="438"/>
      <c r="J81" s="439"/>
      <c r="K81" s="106"/>
      <c r="L81" s="106"/>
    </row>
    <row r="82" spans="2:12" s="107" customFormat="1" ht="15" customHeight="1">
      <c r="B82" s="247">
        <v>6</v>
      </c>
      <c r="C82" s="216"/>
      <c r="D82" s="232" t="s">
        <v>163</v>
      </c>
      <c r="E82" s="228"/>
      <c r="F82" s="242"/>
      <c r="G82" s="243">
        <v>1</v>
      </c>
      <c r="H82" s="244" t="s">
        <v>164</v>
      </c>
      <c r="I82" s="438"/>
      <c r="J82" s="439"/>
      <c r="K82" s="106"/>
      <c r="L82" s="106"/>
    </row>
    <row r="83" spans="2:12" s="107" customFormat="1" ht="15" customHeight="1">
      <c r="B83" s="185"/>
      <c r="C83" s="216"/>
      <c r="D83" s="228"/>
      <c r="E83" s="228"/>
      <c r="F83" s="225"/>
      <c r="G83" s="188"/>
      <c r="H83" s="189"/>
      <c r="I83" s="440"/>
      <c r="J83" s="441"/>
      <c r="K83" s="106"/>
      <c r="L83" s="106"/>
    </row>
    <row r="84" spans="2:12" s="107" customFormat="1" ht="15" customHeight="1">
      <c r="B84" s="191"/>
      <c r="C84" s="218"/>
      <c r="D84" s="227"/>
      <c r="E84" s="227"/>
      <c r="F84" s="792" t="s">
        <v>445</v>
      </c>
      <c r="G84" s="792"/>
      <c r="H84" s="792"/>
      <c r="I84" s="793"/>
      <c r="J84" s="269">
        <f>SUM(J45:J83)</f>
        <v>0</v>
      </c>
      <c r="K84" s="106"/>
      <c r="L84" s="106"/>
    </row>
    <row r="85" spans="2:12" s="107" customFormat="1" ht="15" customHeight="1">
      <c r="B85" s="191"/>
      <c r="C85" s="218"/>
      <c r="D85" s="227"/>
      <c r="E85" s="227"/>
      <c r="F85" s="792"/>
      <c r="G85" s="792"/>
      <c r="H85" s="792"/>
      <c r="I85" s="793"/>
      <c r="J85" s="269"/>
      <c r="K85" s="106"/>
      <c r="L85" s="106"/>
    </row>
    <row r="86" spans="2:12" s="107" customFormat="1" ht="15" customHeight="1">
      <c r="B86" s="268" t="s">
        <v>438</v>
      </c>
      <c r="C86" s="220"/>
      <c r="D86" s="232" t="s">
        <v>165</v>
      </c>
      <c r="E86" s="230"/>
      <c r="F86" s="242"/>
      <c r="G86" s="243"/>
      <c r="H86" s="244"/>
      <c r="I86" s="245"/>
      <c r="J86" s="246"/>
      <c r="K86" s="106"/>
      <c r="L86" s="106"/>
    </row>
    <row r="87" spans="2:12" s="107" customFormat="1" ht="2.15" customHeight="1">
      <c r="B87" s="368"/>
      <c r="C87" s="370"/>
      <c r="D87" s="375"/>
      <c r="E87" s="373"/>
      <c r="F87" s="357"/>
      <c r="G87" s="359"/>
      <c r="H87" s="360"/>
      <c r="I87" s="361"/>
      <c r="J87" s="355"/>
      <c r="K87" s="106"/>
      <c r="L87" s="106"/>
    </row>
    <row r="88" spans="2:12" s="107" customFormat="1" ht="15" customHeight="1">
      <c r="B88" s="369">
        <v>1</v>
      </c>
      <c r="C88" s="371"/>
      <c r="D88" s="376" t="s">
        <v>166</v>
      </c>
      <c r="E88" s="374"/>
      <c r="F88" s="372"/>
      <c r="G88" s="363">
        <v>3</v>
      </c>
      <c r="H88" s="364" t="s">
        <v>94</v>
      </c>
      <c r="I88" s="446"/>
      <c r="J88" s="447"/>
      <c r="K88" s="106"/>
      <c r="L88" s="106"/>
    </row>
    <row r="89" spans="2:12" s="107" customFormat="1" ht="15" customHeight="1">
      <c r="B89" s="248">
        <v>1.1000000000000001</v>
      </c>
      <c r="C89" s="216"/>
      <c r="D89" s="225" t="s">
        <v>167</v>
      </c>
      <c r="E89" s="228"/>
      <c r="F89" s="242"/>
      <c r="G89" s="243"/>
      <c r="H89" s="244"/>
      <c r="I89" s="438"/>
      <c r="J89" s="439"/>
      <c r="K89" s="106"/>
      <c r="L89" s="106"/>
    </row>
    <row r="90" spans="2:12" s="107" customFormat="1" ht="15" customHeight="1">
      <c r="B90" s="248">
        <v>1.2000000000000002</v>
      </c>
      <c r="C90" s="216"/>
      <c r="D90" s="225" t="s">
        <v>168</v>
      </c>
      <c r="E90" s="228"/>
      <c r="F90" s="242"/>
      <c r="G90" s="264"/>
      <c r="H90" s="265" t="s">
        <v>94</v>
      </c>
      <c r="I90" s="448"/>
      <c r="J90" s="449"/>
      <c r="K90" s="106"/>
      <c r="L90" s="264">
        <v>2</v>
      </c>
    </row>
    <row r="91" spans="2:12" s="107" customFormat="1" ht="15" customHeight="1">
      <c r="B91" s="248">
        <v>1.3000000000000003</v>
      </c>
      <c r="C91" s="216"/>
      <c r="D91" s="225" t="s">
        <v>169</v>
      </c>
      <c r="E91" s="228"/>
      <c r="F91" s="242"/>
      <c r="G91" s="264"/>
      <c r="H91" s="265" t="s">
        <v>164</v>
      </c>
      <c r="I91" s="448"/>
      <c r="J91" s="449"/>
      <c r="K91" s="106"/>
      <c r="L91" s="106"/>
    </row>
    <row r="92" spans="2:12" s="107" customFormat="1" ht="15" customHeight="1">
      <c r="B92" s="248"/>
      <c r="C92" s="216"/>
      <c r="D92" s="225"/>
      <c r="E92" s="228"/>
      <c r="F92" s="242"/>
      <c r="G92" s="264"/>
      <c r="H92" s="265"/>
      <c r="I92" s="448"/>
      <c r="J92" s="449"/>
      <c r="K92" s="106"/>
      <c r="L92" s="106"/>
    </row>
    <row r="93" spans="2:12" s="107" customFormat="1" ht="15" customHeight="1">
      <c r="B93" s="247">
        <v>2</v>
      </c>
      <c r="C93" s="219"/>
      <c r="D93" s="232" t="s">
        <v>170</v>
      </c>
      <c r="E93" s="229"/>
      <c r="F93" s="242"/>
      <c r="G93" s="264"/>
      <c r="H93" s="265"/>
      <c r="I93" s="448"/>
      <c r="J93" s="449"/>
      <c r="K93" s="106"/>
      <c r="L93" s="106"/>
    </row>
    <row r="94" spans="2:12" s="107" customFormat="1" ht="15" customHeight="1">
      <c r="B94" s="248">
        <v>1.1000000000000001</v>
      </c>
      <c r="C94" s="216"/>
      <c r="D94" s="225" t="s">
        <v>171</v>
      </c>
      <c r="E94" s="228"/>
      <c r="F94" s="242"/>
      <c r="G94" s="264"/>
      <c r="H94" s="265" t="s">
        <v>55</v>
      </c>
      <c r="I94" s="448"/>
      <c r="J94" s="449"/>
      <c r="K94" s="106"/>
      <c r="L94" s="243">
        <v>2</v>
      </c>
    </row>
    <row r="95" spans="2:12" s="107" customFormat="1" ht="15" customHeight="1">
      <c r="B95" s="248"/>
      <c r="C95" s="216"/>
      <c r="D95" s="225" t="s">
        <v>172</v>
      </c>
      <c r="E95" s="228"/>
      <c r="F95" s="242"/>
      <c r="G95" s="264"/>
      <c r="H95" s="265"/>
      <c r="I95" s="448"/>
      <c r="J95" s="449"/>
      <c r="K95" s="106"/>
      <c r="L95" s="106"/>
    </row>
    <row r="96" spans="2:12" s="107" customFormat="1" ht="15" customHeight="1">
      <c r="B96" s="248"/>
      <c r="C96" s="216"/>
      <c r="D96" s="225" t="s">
        <v>173</v>
      </c>
      <c r="E96" s="228"/>
      <c r="F96" s="242"/>
      <c r="G96" s="264">
        <v>20</v>
      </c>
      <c r="H96" s="265" t="s">
        <v>174</v>
      </c>
      <c r="I96" s="448"/>
      <c r="J96" s="449"/>
      <c r="K96" s="106"/>
      <c r="L96" s="106"/>
    </row>
    <row r="97" spans="2:12" s="107" customFormat="1" ht="15" customHeight="1">
      <c r="B97" s="248"/>
      <c r="C97" s="216"/>
      <c r="D97" s="225" t="s">
        <v>175</v>
      </c>
      <c r="E97" s="228"/>
      <c r="F97" s="242"/>
      <c r="G97" s="264">
        <v>20</v>
      </c>
      <c r="H97" s="265" t="s">
        <v>174</v>
      </c>
      <c r="I97" s="448"/>
      <c r="J97" s="449"/>
      <c r="K97" s="106"/>
      <c r="L97" s="106"/>
    </row>
    <row r="98" spans="2:12" s="107" customFormat="1" ht="15" customHeight="1">
      <c r="B98" s="248">
        <v>1.2</v>
      </c>
      <c r="C98" s="216"/>
      <c r="D98" s="225" t="s">
        <v>176</v>
      </c>
      <c r="E98" s="228"/>
      <c r="F98" s="242"/>
      <c r="G98" s="264"/>
      <c r="H98" s="265"/>
      <c r="I98" s="448"/>
      <c r="J98" s="449"/>
      <c r="K98" s="106"/>
      <c r="L98" s="106"/>
    </row>
    <row r="99" spans="2:12" s="107" customFormat="1" ht="15" customHeight="1">
      <c r="B99" s="248"/>
      <c r="C99" s="216"/>
      <c r="D99" s="225" t="s">
        <v>177</v>
      </c>
      <c r="E99" s="228"/>
      <c r="F99" s="242"/>
      <c r="G99" s="264">
        <v>57</v>
      </c>
      <c r="H99" s="265" t="s">
        <v>174</v>
      </c>
      <c r="I99" s="448"/>
      <c r="J99" s="449"/>
      <c r="K99" s="106"/>
      <c r="L99" s="106"/>
    </row>
    <row r="100" spans="2:12" s="107" customFormat="1" ht="15" customHeight="1">
      <c r="B100" s="248"/>
      <c r="C100" s="216"/>
      <c r="D100" s="225" t="s">
        <v>178</v>
      </c>
      <c r="E100" s="228"/>
      <c r="F100" s="242"/>
      <c r="G100" s="264">
        <v>8</v>
      </c>
      <c r="H100" s="265" t="s">
        <v>174</v>
      </c>
      <c r="I100" s="448"/>
      <c r="J100" s="449"/>
      <c r="K100" s="106"/>
      <c r="L100" s="106"/>
    </row>
    <row r="101" spans="2:12" s="107" customFormat="1" ht="15" customHeight="1">
      <c r="B101" s="248"/>
      <c r="C101" s="216"/>
      <c r="D101" s="225" t="s">
        <v>179</v>
      </c>
      <c r="E101" s="228"/>
      <c r="F101" s="242"/>
      <c r="G101" s="264">
        <v>36</v>
      </c>
      <c r="H101" s="265" t="s">
        <v>174</v>
      </c>
      <c r="I101" s="448"/>
      <c r="J101" s="449"/>
      <c r="K101" s="106"/>
      <c r="L101" s="106"/>
    </row>
    <row r="102" spans="2:12" s="107" customFormat="1" ht="15" customHeight="1">
      <c r="B102" s="248">
        <v>1.3</v>
      </c>
      <c r="C102" s="216"/>
      <c r="D102" s="225" t="s">
        <v>180</v>
      </c>
      <c r="E102" s="228"/>
      <c r="F102" s="242"/>
      <c r="G102" s="243"/>
      <c r="H102" s="244"/>
      <c r="I102" s="438"/>
      <c r="J102" s="439"/>
      <c r="K102" s="106"/>
      <c r="L102" s="106"/>
    </row>
    <row r="103" spans="2:12" s="107" customFormat="1" ht="15" customHeight="1">
      <c r="B103" s="248"/>
      <c r="C103" s="216"/>
      <c r="D103" s="225" t="s">
        <v>181</v>
      </c>
      <c r="E103" s="228"/>
      <c r="F103" s="242"/>
      <c r="G103" s="243">
        <v>48</v>
      </c>
      <c r="H103" s="244" t="s">
        <v>174</v>
      </c>
      <c r="I103" s="438"/>
      <c r="J103" s="439"/>
      <c r="K103" s="106"/>
      <c r="L103" s="106"/>
    </row>
    <row r="104" spans="2:12" s="107" customFormat="1" ht="15" customHeight="1">
      <c r="B104" s="248"/>
      <c r="C104" s="216"/>
      <c r="D104" s="225" t="s">
        <v>182</v>
      </c>
      <c r="E104" s="228"/>
      <c r="F104" s="242"/>
      <c r="G104" s="243">
        <v>12</v>
      </c>
      <c r="H104" s="244" t="s">
        <v>174</v>
      </c>
      <c r="I104" s="438"/>
      <c r="J104" s="439"/>
      <c r="K104" s="106"/>
      <c r="L104" s="106"/>
    </row>
    <row r="105" spans="2:12" s="107" customFormat="1" ht="15" customHeight="1">
      <c r="B105" s="248"/>
      <c r="C105" s="216"/>
      <c r="D105" s="225" t="s">
        <v>183</v>
      </c>
      <c r="E105" s="228"/>
      <c r="F105" s="242"/>
      <c r="G105" s="243">
        <v>22</v>
      </c>
      <c r="H105" s="244" t="s">
        <v>174</v>
      </c>
      <c r="I105" s="438"/>
      <c r="J105" s="439"/>
      <c r="K105" s="106"/>
      <c r="L105" s="106"/>
    </row>
    <row r="106" spans="2:12" s="107" customFormat="1" ht="15" customHeight="1">
      <c r="B106" s="248">
        <v>1.4</v>
      </c>
      <c r="C106" s="216"/>
      <c r="D106" s="225" t="s">
        <v>184</v>
      </c>
      <c r="E106" s="228"/>
      <c r="F106" s="242"/>
      <c r="G106" s="243"/>
      <c r="H106" s="244"/>
      <c r="I106" s="438"/>
      <c r="J106" s="439"/>
      <c r="K106" s="106"/>
      <c r="L106" s="106"/>
    </row>
    <row r="107" spans="2:12" s="107" customFormat="1" ht="15" customHeight="1">
      <c r="B107" s="248"/>
      <c r="C107" s="216"/>
      <c r="D107" s="225" t="s">
        <v>185</v>
      </c>
      <c r="E107" s="228"/>
      <c r="F107" s="242"/>
      <c r="G107" s="243">
        <v>27</v>
      </c>
      <c r="H107" s="244" t="s">
        <v>174</v>
      </c>
      <c r="I107" s="438"/>
      <c r="J107" s="439"/>
      <c r="K107" s="106"/>
      <c r="L107" s="106"/>
    </row>
    <row r="108" spans="2:12" s="107" customFormat="1" ht="15" customHeight="1">
      <c r="B108" s="248">
        <v>1.5</v>
      </c>
      <c r="C108" s="216"/>
      <c r="D108" s="225" t="s">
        <v>186</v>
      </c>
      <c r="E108" s="228"/>
      <c r="F108" s="242"/>
      <c r="G108" s="243"/>
      <c r="H108" s="244"/>
      <c r="I108" s="438"/>
      <c r="J108" s="439"/>
      <c r="K108" s="106"/>
      <c r="L108" s="106"/>
    </row>
    <row r="109" spans="2:12" s="107" customFormat="1" ht="15" customHeight="1">
      <c r="B109" s="248"/>
      <c r="C109" s="216"/>
      <c r="D109" s="225" t="s">
        <v>187</v>
      </c>
      <c r="E109" s="228"/>
      <c r="F109" s="242"/>
      <c r="G109" s="243">
        <v>8</v>
      </c>
      <c r="H109" s="244" t="s">
        <v>13</v>
      </c>
      <c r="I109" s="438"/>
      <c r="J109" s="439"/>
      <c r="K109" s="106"/>
      <c r="L109" s="106"/>
    </row>
    <row r="110" spans="2:12" s="107" customFormat="1" ht="15" customHeight="1">
      <c r="B110" s="248"/>
      <c r="C110" s="216"/>
      <c r="D110" s="225" t="s">
        <v>188</v>
      </c>
      <c r="E110" s="228"/>
      <c r="F110" s="242"/>
      <c r="G110" s="243">
        <v>8</v>
      </c>
      <c r="H110" s="244" t="s">
        <v>13</v>
      </c>
      <c r="I110" s="438"/>
      <c r="J110" s="439"/>
      <c r="K110" s="106"/>
      <c r="L110" s="106"/>
    </row>
    <row r="111" spans="2:12" s="107" customFormat="1" ht="15" customHeight="1">
      <c r="B111" s="248">
        <v>1.6</v>
      </c>
      <c r="C111" s="216"/>
      <c r="D111" s="225" t="s">
        <v>169</v>
      </c>
      <c r="E111" s="228"/>
      <c r="F111" s="242"/>
      <c r="G111" s="243">
        <v>1</v>
      </c>
      <c r="H111" s="244" t="s">
        <v>164</v>
      </c>
      <c r="I111" s="438"/>
      <c r="J111" s="439"/>
      <c r="K111" s="106"/>
      <c r="L111" s="106"/>
    </row>
    <row r="112" spans="2:12" s="107" customFormat="1" ht="15" customHeight="1">
      <c r="B112" s="248"/>
      <c r="C112" s="216"/>
      <c r="D112" s="225"/>
      <c r="E112" s="228"/>
      <c r="F112" s="242"/>
      <c r="G112" s="243"/>
      <c r="H112" s="244"/>
      <c r="I112" s="438"/>
      <c r="J112" s="439"/>
      <c r="K112" s="106"/>
      <c r="L112" s="106"/>
    </row>
    <row r="113" spans="2:12" s="107" customFormat="1" ht="15" customHeight="1">
      <c r="B113" s="247">
        <v>3</v>
      </c>
      <c r="C113" s="219"/>
      <c r="D113" s="232" t="s">
        <v>189</v>
      </c>
      <c r="E113" s="229"/>
      <c r="F113" s="242"/>
      <c r="G113" s="243"/>
      <c r="H113" s="244"/>
      <c r="I113" s="438"/>
      <c r="J113" s="439"/>
      <c r="K113" s="106"/>
      <c r="L113" s="106"/>
    </row>
    <row r="114" spans="2:12" s="107" customFormat="1" ht="15" customHeight="1">
      <c r="B114" s="248">
        <v>1</v>
      </c>
      <c r="C114" s="216"/>
      <c r="D114" s="225" t="s">
        <v>190</v>
      </c>
      <c r="E114" s="228"/>
      <c r="F114" s="242"/>
      <c r="G114" s="243">
        <v>3</v>
      </c>
      <c r="H114" s="244" t="s">
        <v>55</v>
      </c>
      <c r="I114" s="438"/>
      <c r="J114" s="439"/>
      <c r="K114" s="106"/>
      <c r="L114" s="106"/>
    </row>
    <row r="115" spans="2:12" s="107" customFormat="1" ht="15" customHeight="1">
      <c r="B115" s="248">
        <v>1.1000000000000001</v>
      </c>
      <c r="C115" s="216"/>
      <c r="D115" s="225" t="s">
        <v>184</v>
      </c>
      <c r="E115" s="228"/>
      <c r="F115" s="242"/>
      <c r="G115" s="243"/>
      <c r="H115" s="244"/>
      <c r="I115" s="438"/>
      <c r="J115" s="439"/>
      <c r="K115" s="106"/>
      <c r="L115" s="106"/>
    </row>
    <row r="116" spans="2:12" s="107" customFormat="1" ht="15" customHeight="1">
      <c r="B116" s="248"/>
      <c r="C116" s="216"/>
      <c r="D116" s="225" t="s">
        <v>191</v>
      </c>
      <c r="E116" s="228"/>
      <c r="F116" s="242"/>
      <c r="G116" s="243">
        <v>58.7</v>
      </c>
      <c r="H116" s="244" t="s">
        <v>174</v>
      </c>
      <c r="I116" s="438"/>
      <c r="J116" s="439"/>
      <c r="K116" s="106"/>
      <c r="L116" s="106"/>
    </row>
    <row r="117" spans="2:12" ht="15" customHeight="1">
      <c r="B117" s="248"/>
      <c r="C117" s="216"/>
      <c r="D117" s="225" t="s">
        <v>192</v>
      </c>
      <c r="E117" s="228"/>
      <c r="F117" s="249"/>
      <c r="G117" s="243">
        <v>22</v>
      </c>
      <c r="H117" s="244" t="s">
        <v>174</v>
      </c>
      <c r="I117" s="438"/>
      <c r="J117" s="439"/>
    </row>
    <row r="118" spans="2:12" ht="15" customHeight="1">
      <c r="B118" s="248"/>
      <c r="C118" s="216"/>
      <c r="D118" s="225" t="s">
        <v>193</v>
      </c>
      <c r="E118" s="228"/>
      <c r="F118" s="249"/>
      <c r="G118" s="243">
        <v>25.4</v>
      </c>
      <c r="H118" s="244" t="s">
        <v>174</v>
      </c>
      <c r="I118" s="438"/>
      <c r="J118" s="439"/>
    </row>
    <row r="119" spans="2:12" ht="15" customHeight="1">
      <c r="B119" s="248"/>
      <c r="C119" s="216"/>
      <c r="D119" s="225" t="s">
        <v>194</v>
      </c>
      <c r="E119" s="228"/>
      <c r="F119" s="249"/>
      <c r="G119" s="243">
        <v>29</v>
      </c>
      <c r="H119" s="244" t="s">
        <v>174</v>
      </c>
      <c r="I119" s="438"/>
      <c r="J119" s="439"/>
    </row>
    <row r="120" spans="2:12" ht="15" customHeight="1">
      <c r="B120" s="248"/>
      <c r="C120" s="216"/>
      <c r="D120" s="225" t="s">
        <v>195</v>
      </c>
      <c r="E120" s="228"/>
      <c r="F120" s="249"/>
      <c r="G120" s="243">
        <v>27</v>
      </c>
      <c r="H120" s="244" t="s">
        <v>174</v>
      </c>
      <c r="I120" s="438"/>
      <c r="J120" s="439"/>
    </row>
    <row r="121" spans="2:12" ht="15" customHeight="1">
      <c r="B121" s="248">
        <v>1.2</v>
      </c>
      <c r="C121" s="216"/>
      <c r="D121" s="225" t="s">
        <v>186</v>
      </c>
      <c r="E121" s="228"/>
      <c r="F121" s="249"/>
      <c r="G121" s="243"/>
      <c r="H121" s="244"/>
      <c r="I121" s="438"/>
      <c r="J121" s="439"/>
    </row>
    <row r="122" spans="2:12" ht="15" customHeight="1">
      <c r="B122" s="248"/>
      <c r="C122" s="216"/>
      <c r="D122" s="225" t="s">
        <v>196</v>
      </c>
      <c r="E122" s="228"/>
      <c r="F122" s="249"/>
      <c r="G122" s="243">
        <v>35</v>
      </c>
      <c r="H122" s="244" t="s">
        <v>13</v>
      </c>
      <c r="I122" s="438"/>
      <c r="J122" s="439"/>
    </row>
    <row r="123" spans="2:12" ht="15" customHeight="1">
      <c r="B123" s="348"/>
      <c r="C123" s="352"/>
      <c r="D123" s="350" t="s">
        <v>197</v>
      </c>
      <c r="E123" s="349"/>
      <c r="F123" s="346"/>
      <c r="G123" s="353">
        <v>6</v>
      </c>
      <c r="H123" s="354" t="s">
        <v>13</v>
      </c>
      <c r="I123" s="444"/>
      <c r="J123" s="443"/>
    </row>
    <row r="124" spans="2:12" ht="15" customHeight="1">
      <c r="B124" s="314"/>
      <c r="C124" s="291"/>
      <c r="D124" s="351" t="s">
        <v>198</v>
      </c>
      <c r="E124" s="339"/>
      <c r="F124" s="347"/>
      <c r="G124" s="316">
        <v>13</v>
      </c>
      <c r="H124" s="317" t="s">
        <v>13</v>
      </c>
      <c r="I124" s="450"/>
      <c r="J124" s="445"/>
    </row>
    <row r="125" spans="2:12" ht="15" customHeight="1">
      <c r="B125" s="248"/>
      <c r="C125" s="216"/>
      <c r="D125" s="225" t="s">
        <v>199</v>
      </c>
      <c r="E125" s="228"/>
      <c r="F125" s="249"/>
      <c r="G125" s="243">
        <v>6</v>
      </c>
      <c r="H125" s="244" t="s">
        <v>13</v>
      </c>
      <c r="I125" s="438"/>
      <c r="J125" s="439"/>
    </row>
    <row r="126" spans="2:12" ht="15" customHeight="1">
      <c r="B126" s="248">
        <v>1.3</v>
      </c>
      <c r="C126" s="216"/>
      <c r="D126" s="225" t="s">
        <v>169</v>
      </c>
      <c r="E126" s="228"/>
      <c r="F126" s="249"/>
      <c r="G126" s="243">
        <v>1</v>
      </c>
      <c r="H126" s="244" t="s">
        <v>164</v>
      </c>
      <c r="I126" s="438"/>
      <c r="J126" s="439"/>
    </row>
    <row r="127" spans="2:12" ht="15" customHeight="1">
      <c r="B127" s="248"/>
      <c r="C127" s="216"/>
      <c r="D127" s="225"/>
      <c r="E127" s="228"/>
      <c r="F127" s="249"/>
      <c r="G127" s="243"/>
      <c r="H127" s="244"/>
      <c r="I127" s="438"/>
      <c r="J127" s="439"/>
    </row>
    <row r="128" spans="2:12" ht="15" customHeight="1">
      <c r="B128" s="247">
        <v>4</v>
      </c>
      <c r="C128" s="219"/>
      <c r="D128" s="232" t="s">
        <v>200</v>
      </c>
      <c r="E128" s="229"/>
      <c r="F128" s="249"/>
      <c r="G128" s="243"/>
      <c r="H128" s="244"/>
      <c r="I128" s="438"/>
      <c r="J128" s="439"/>
    </row>
    <row r="129" spans="2:10" ht="15" customHeight="1">
      <c r="B129" s="248">
        <v>1.1000000000000001</v>
      </c>
      <c r="C129" s="216"/>
      <c r="D129" s="225" t="s">
        <v>201</v>
      </c>
      <c r="E129" s="228"/>
      <c r="F129" s="249"/>
      <c r="G129" s="243">
        <v>10</v>
      </c>
      <c r="H129" s="244" t="s">
        <v>55</v>
      </c>
      <c r="I129" s="438"/>
      <c r="J129" s="439"/>
    </row>
    <row r="130" spans="2:10" ht="15" customHeight="1">
      <c r="B130" s="248">
        <v>1.2</v>
      </c>
      <c r="C130" s="216"/>
      <c r="D130" s="225" t="s">
        <v>202</v>
      </c>
      <c r="E130" s="228"/>
      <c r="F130" s="249"/>
      <c r="G130" s="243"/>
      <c r="H130" s="244"/>
      <c r="I130" s="438"/>
      <c r="J130" s="439"/>
    </row>
    <row r="131" spans="2:10" ht="15" customHeight="1">
      <c r="B131" s="248"/>
      <c r="C131" s="216"/>
      <c r="D131" s="225" t="s">
        <v>203</v>
      </c>
      <c r="E131" s="228"/>
      <c r="F131" s="249"/>
      <c r="G131" s="243">
        <v>36.6</v>
      </c>
      <c r="H131" s="244" t="s">
        <v>174</v>
      </c>
      <c r="I131" s="438"/>
      <c r="J131" s="439"/>
    </row>
    <row r="132" spans="2:10" ht="15" customHeight="1">
      <c r="B132" s="248">
        <v>1.3</v>
      </c>
      <c r="C132" s="216"/>
      <c r="D132" s="225" t="s">
        <v>169</v>
      </c>
      <c r="E132" s="228"/>
      <c r="F132" s="249"/>
      <c r="G132" s="243">
        <v>1</v>
      </c>
      <c r="H132" s="244" t="s">
        <v>164</v>
      </c>
      <c r="I132" s="438"/>
      <c r="J132" s="439"/>
    </row>
    <row r="133" spans="2:10" ht="15" customHeight="1">
      <c r="B133" s="248"/>
      <c r="C133" s="216"/>
      <c r="D133" s="225"/>
      <c r="E133" s="228"/>
      <c r="F133" s="249"/>
      <c r="G133" s="243"/>
      <c r="H133" s="244"/>
      <c r="I133" s="438"/>
      <c r="J133" s="439"/>
    </row>
    <row r="134" spans="2:10" ht="15" customHeight="1">
      <c r="B134" s="247">
        <v>5</v>
      </c>
      <c r="C134" s="219"/>
      <c r="D134" s="232" t="s">
        <v>204</v>
      </c>
      <c r="E134" s="229"/>
      <c r="F134" s="249"/>
      <c r="G134" s="243"/>
      <c r="H134" s="244"/>
      <c r="I134" s="438"/>
      <c r="J134" s="439"/>
    </row>
    <row r="135" spans="2:10" ht="15" customHeight="1">
      <c r="B135" s="248">
        <v>1</v>
      </c>
      <c r="C135" s="216"/>
      <c r="D135" s="225" t="s">
        <v>205</v>
      </c>
      <c r="E135" s="228"/>
      <c r="F135" s="249"/>
      <c r="G135" s="243"/>
      <c r="H135" s="244"/>
      <c r="I135" s="438"/>
      <c r="J135" s="439"/>
    </row>
    <row r="136" spans="2:10" ht="15" customHeight="1">
      <c r="B136" s="248"/>
      <c r="C136" s="216"/>
      <c r="D136" s="225" t="s">
        <v>206</v>
      </c>
      <c r="E136" s="228"/>
      <c r="F136" s="249"/>
      <c r="G136" s="243">
        <v>33</v>
      </c>
      <c r="H136" s="244" t="s">
        <v>174</v>
      </c>
      <c r="I136" s="438"/>
      <c r="J136" s="439"/>
    </row>
    <row r="137" spans="2:10" ht="15" customHeight="1">
      <c r="B137" s="248"/>
      <c r="C137" s="216"/>
      <c r="D137" s="225" t="s">
        <v>207</v>
      </c>
      <c r="E137" s="228"/>
      <c r="F137" s="249"/>
      <c r="G137" s="243">
        <v>30</v>
      </c>
      <c r="H137" s="244" t="s">
        <v>174</v>
      </c>
      <c r="I137" s="438"/>
      <c r="J137" s="439"/>
    </row>
    <row r="138" spans="2:10" ht="15" customHeight="1">
      <c r="B138" s="248"/>
      <c r="C138" s="216"/>
      <c r="D138" s="225" t="s">
        <v>208</v>
      </c>
      <c r="E138" s="228"/>
      <c r="F138" s="249"/>
      <c r="G138" s="243">
        <v>30</v>
      </c>
      <c r="H138" s="244" t="s">
        <v>174</v>
      </c>
      <c r="I138" s="438"/>
      <c r="J138" s="439"/>
    </row>
    <row r="139" spans="2:10" ht="15" customHeight="1">
      <c r="B139" s="248"/>
      <c r="C139" s="216"/>
      <c r="D139" s="225" t="s">
        <v>209</v>
      </c>
      <c r="E139" s="228"/>
      <c r="F139" s="249"/>
      <c r="G139" s="243">
        <v>30</v>
      </c>
      <c r="H139" s="244" t="s">
        <v>174</v>
      </c>
      <c r="I139" s="438"/>
      <c r="J139" s="439"/>
    </row>
    <row r="140" spans="2:10" ht="15" customHeight="1">
      <c r="B140" s="248"/>
      <c r="C140" s="216"/>
      <c r="D140" s="225" t="s">
        <v>210</v>
      </c>
      <c r="E140" s="228"/>
      <c r="F140" s="249"/>
      <c r="G140" s="243">
        <v>30</v>
      </c>
      <c r="H140" s="244" t="s">
        <v>174</v>
      </c>
      <c r="I140" s="438"/>
      <c r="J140" s="439"/>
    </row>
    <row r="141" spans="2:10" ht="15" customHeight="1">
      <c r="B141" s="248"/>
      <c r="C141" s="216"/>
      <c r="D141" s="225" t="s">
        <v>211</v>
      </c>
      <c r="E141" s="228"/>
      <c r="F141" s="249"/>
      <c r="G141" s="243">
        <v>3</v>
      </c>
      <c r="H141" s="244" t="s">
        <v>94</v>
      </c>
      <c r="I141" s="438"/>
      <c r="J141" s="439"/>
    </row>
    <row r="142" spans="2:10" ht="15" customHeight="1">
      <c r="B142" s="248">
        <v>2</v>
      </c>
      <c r="C142" s="216"/>
      <c r="D142" s="225" t="s">
        <v>212</v>
      </c>
      <c r="E142" s="228"/>
      <c r="F142" s="249"/>
      <c r="G142" s="243"/>
      <c r="H142" s="244"/>
      <c r="I142" s="438"/>
      <c r="J142" s="439"/>
    </row>
    <row r="143" spans="2:10" ht="15" customHeight="1">
      <c r="B143" s="248"/>
      <c r="C143" s="216"/>
      <c r="D143" s="225" t="s">
        <v>213</v>
      </c>
      <c r="E143" s="228"/>
      <c r="F143" s="249"/>
      <c r="G143" s="243">
        <v>35</v>
      </c>
      <c r="H143" s="244" t="s">
        <v>174</v>
      </c>
      <c r="I143" s="438"/>
      <c r="J143" s="439"/>
    </row>
    <row r="144" spans="2:10" ht="15" customHeight="1">
      <c r="B144" s="248"/>
      <c r="C144" s="216"/>
      <c r="D144" s="225" t="s">
        <v>214</v>
      </c>
      <c r="E144" s="228"/>
      <c r="F144" s="249"/>
      <c r="G144" s="243">
        <v>35</v>
      </c>
      <c r="H144" s="244" t="s">
        <v>174</v>
      </c>
      <c r="I144" s="438"/>
      <c r="J144" s="439"/>
    </row>
    <row r="145" spans="2:12" ht="15" customHeight="1">
      <c r="B145" s="250">
        <v>3</v>
      </c>
      <c r="C145" s="251"/>
      <c r="D145" s="252" t="s">
        <v>169</v>
      </c>
      <c r="E145" s="253"/>
      <c r="F145" s="254"/>
      <c r="G145" s="255">
        <v>1</v>
      </c>
      <c r="H145" s="256" t="s">
        <v>164</v>
      </c>
      <c r="I145" s="451"/>
      <c r="J145" s="452"/>
    </row>
    <row r="146" spans="2:12" ht="18" customHeight="1">
      <c r="B146" s="191"/>
      <c r="C146" s="218"/>
      <c r="D146" s="227"/>
      <c r="E146" s="227"/>
      <c r="F146" s="792" t="s">
        <v>446</v>
      </c>
      <c r="G146" s="792"/>
      <c r="H146" s="792"/>
      <c r="I146" s="793"/>
      <c r="J146" s="269">
        <f>SUM(J88:J145)</f>
        <v>0</v>
      </c>
      <c r="L146" s="119">
        <f>SUM(J88:J145)</f>
        <v>0</v>
      </c>
    </row>
    <row r="147" spans="2:12" ht="22.5" customHeight="1">
      <c r="B147" s="311"/>
      <c r="C147" s="227"/>
      <c r="D147" s="227"/>
      <c r="E147" s="227"/>
      <c r="F147" s="286"/>
      <c r="G147" s="286"/>
      <c r="H147" s="286"/>
      <c r="I147" s="301" t="s">
        <v>443</v>
      </c>
      <c r="J147" s="454">
        <f>J146+J84+J39</f>
        <v>0</v>
      </c>
      <c r="L147" s="119"/>
    </row>
    <row r="148" spans="2:12" ht="15" customHeight="1">
      <c r="B148" s="226"/>
      <c r="C148" s="226"/>
      <c r="D148" s="226"/>
      <c r="E148" s="226"/>
      <c r="F148" s="309"/>
      <c r="G148" s="309"/>
      <c r="H148" s="309"/>
      <c r="I148" s="309"/>
      <c r="J148" s="310"/>
      <c r="L148" s="119"/>
    </row>
    <row r="150" spans="2:12" ht="15" customHeight="1">
      <c r="J150" s="180"/>
    </row>
  </sheetData>
  <mergeCells count="13">
    <mergeCell ref="B1:J1"/>
    <mergeCell ref="B2:J2"/>
    <mergeCell ref="F85:I85"/>
    <mergeCell ref="F84:I84"/>
    <mergeCell ref="F146:I146"/>
    <mergeCell ref="B9:B10"/>
    <mergeCell ref="G9:G10"/>
    <mergeCell ref="H9:H10"/>
    <mergeCell ref="F39:I39"/>
    <mergeCell ref="C9:F10"/>
    <mergeCell ref="F4:I4"/>
    <mergeCell ref="F5:I5"/>
    <mergeCell ref="F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7"/>
  <sheetViews>
    <sheetView topLeftCell="A7" zoomScale="70" zoomScaleNormal="70" zoomScaleSheetLayoutView="100" workbookViewId="0">
      <selection activeCell="G9" sqref="G9"/>
    </sheetView>
  </sheetViews>
  <sheetFormatPr defaultRowHeight="16" customHeight="1"/>
  <cols>
    <col min="1" max="1" width="4.81640625" style="97" bestFit="1" customWidth="1"/>
    <col min="2" max="2" width="69.81640625" style="98" customWidth="1"/>
    <col min="3" max="3" width="10.1796875" style="97" bestFit="1" customWidth="1"/>
    <col min="4" max="4" width="6.26953125" style="97" customWidth="1"/>
    <col min="5" max="5" width="21.81640625" style="99" customWidth="1"/>
    <col min="6" max="6" width="19.54296875" style="97" customWidth="1"/>
    <col min="7" max="7" width="20.26953125" style="100" customWidth="1"/>
    <col min="8" max="8" width="15.7265625" style="100" customWidth="1"/>
    <col min="9" max="9" width="6" style="7" customWidth="1"/>
    <col min="10" max="11" width="15.1796875" style="7" customWidth="1"/>
    <col min="12" max="12" width="14.81640625" style="7" customWidth="1"/>
    <col min="13" max="256" width="9.1796875" style="7"/>
    <col min="257" max="257" width="4.81640625" style="7" bestFit="1" customWidth="1"/>
    <col min="258" max="258" width="69.81640625" style="7" customWidth="1"/>
    <col min="259" max="259" width="10.1796875" style="7" bestFit="1" customWidth="1"/>
    <col min="260" max="260" width="6.26953125" style="7" customWidth="1"/>
    <col min="261" max="261" width="21.81640625" style="7" customWidth="1"/>
    <col min="262" max="262" width="19.54296875" style="7" customWidth="1"/>
    <col min="263" max="263" width="20.26953125" style="7" customWidth="1"/>
    <col min="264" max="264" width="15.7265625" style="7" customWidth="1"/>
    <col min="265" max="265" width="6" style="7" customWidth="1"/>
    <col min="266" max="267" width="15.1796875" style="7" customWidth="1"/>
    <col min="268" max="268" width="14.81640625" style="7" customWidth="1"/>
    <col min="269" max="512" width="9.1796875" style="7"/>
    <col min="513" max="513" width="4.81640625" style="7" bestFit="1" customWidth="1"/>
    <col min="514" max="514" width="69.81640625" style="7" customWidth="1"/>
    <col min="515" max="515" width="10.1796875" style="7" bestFit="1" customWidth="1"/>
    <col min="516" max="516" width="6.26953125" style="7" customWidth="1"/>
    <col min="517" max="517" width="21.81640625" style="7" customWidth="1"/>
    <col min="518" max="518" width="19.54296875" style="7" customWidth="1"/>
    <col min="519" max="519" width="20.26953125" style="7" customWidth="1"/>
    <col min="520" max="520" width="15.7265625" style="7" customWidth="1"/>
    <col min="521" max="521" width="6" style="7" customWidth="1"/>
    <col min="522" max="523" width="15.1796875" style="7" customWidth="1"/>
    <col min="524" max="524" width="14.81640625" style="7" customWidth="1"/>
    <col min="525" max="768" width="9.1796875" style="7"/>
    <col min="769" max="769" width="4.81640625" style="7" bestFit="1" customWidth="1"/>
    <col min="770" max="770" width="69.81640625" style="7" customWidth="1"/>
    <col min="771" max="771" width="10.1796875" style="7" bestFit="1" customWidth="1"/>
    <col min="772" max="772" width="6.26953125" style="7" customWidth="1"/>
    <col min="773" max="773" width="21.81640625" style="7" customWidth="1"/>
    <col min="774" max="774" width="19.54296875" style="7" customWidth="1"/>
    <col min="775" max="775" width="20.26953125" style="7" customWidth="1"/>
    <col min="776" max="776" width="15.7265625" style="7" customWidth="1"/>
    <col min="777" max="777" width="6" style="7" customWidth="1"/>
    <col min="778" max="779" width="15.1796875" style="7" customWidth="1"/>
    <col min="780" max="780" width="14.81640625" style="7" customWidth="1"/>
    <col min="781" max="1024" width="9.1796875" style="7"/>
    <col min="1025" max="1025" width="4.81640625" style="7" bestFit="1" customWidth="1"/>
    <col min="1026" max="1026" width="69.81640625" style="7" customWidth="1"/>
    <col min="1027" max="1027" width="10.1796875" style="7" bestFit="1" customWidth="1"/>
    <col min="1028" max="1028" width="6.26953125" style="7" customWidth="1"/>
    <col min="1029" max="1029" width="21.81640625" style="7" customWidth="1"/>
    <col min="1030" max="1030" width="19.54296875" style="7" customWidth="1"/>
    <col min="1031" max="1031" width="20.26953125" style="7" customWidth="1"/>
    <col min="1032" max="1032" width="15.7265625" style="7" customWidth="1"/>
    <col min="1033" max="1033" width="6" style="7" customWidth="1"/>
    <col min="1034" max="1035" width="15.1796875" style="7" customWidth="1"/>
    <col min="1036" max="1036" width="14.81640625" style="7" customWidth="1"/>
    <col min="1037" max="1280" width="9.1796875" style="7"/>
    <col min="1281" max="1281" width="4.81640625" style="7" bestFit="1" customWidth="1"/>
    <col min="1282" max="1282" width="69.81640625" style="7" customWidth="1"/>
    <col min="1283" max="1283" width="10.1796875" style="7" bestFit="1" customWidth="1"/>
    <col min="1284" max="1284" width="6.26953125" style="7" customWidth="1"/>
    <col min="1285" max="1285" width="21.81640625" style="7" customWidth="1"/>
    <col min="1286" max="1286" width="19.54296875" style="7" customWidth="1"/>
    <col min="1287" max="1287" width="20.26953125" style="7" customWidth="1"/>
    <col min="1288" max="1288" width="15.7265625" style="7" customWidth="1"/>
    <col min="1289" max="1289" width="6" style="7" customWidth="1"/>
    <col min="1290" max="1291" width="15.1796875" style="7" customWidth="1"/>
    <col min="1292" max="1292" width="14.81640625" style="7" customWidth="1"/>
    <col min="1293" max="1536" width="9.1796875" style="7"/>
    <col min="1537" max="1537" width="4.81640625" style="7" bestFit="1" customWidth="1"/>
    <col min="1538" max="1538" width="69.81640625" style="7" customWidth="1"/>
    <col min="1539" max="1539" width="10.1796875" style="7" bestFit="1" customWidth="1"/>
    <col min="1540" max="1540" width="6.26953125" style="7" customWidth="1"/>
    <col min="1541" max="1541" width="21.81640625" style="7" customWidth="1"/>
    <col min="1542" max="1542" width="19.54296875" style="7" customWidth="1"/>
    <col min="1543" max="1543" width="20.26953125" style="7" customWidth="1"/>
    <col min="1544" max="1544" width="15.7265625" style="7" customWidth="1"/>
    <col min="1545" max="1545" width="6" style="7" customWidth="1"/>
    <col min="1546" max="1547" width="15.1796875" style="7" customWidth="1"/>
    <col min="1548" max="1548" width="14.81640625" style="7" customWidth="1"/>
    <col min="1549" max="1792" width="9.1796875" style="7"/>
    <col min="1793" max="1793" width="4.81640625" style="7" bestFit="1" customWidth="1"/>
    <col min="1794" max="1794" width="69.81640625" style="7" customWidth="1"/>
    <col min="1795" max="1795" width="10.1796875" style="7" bestFit="1" customWidth="1"/>
    <col min="1796" max="1796" width="6.26953125" style="7" customWidth="1"/>
    <col min="1797" max="1797" width="21.81640625" style="7" customWidth="1"/>
    <col min="1798" max="1798" width="19.54296875" style="7" customWidth="1"/>
    <col min="1799" max="1799" width="20.26953125" style="7" customWidth="1"/>
    <col min="1800" max="1800" width="15.7265625" style="7" customWidth="1"/>
    <col min="1801" max="1801" width="6" style="7" customWidth="1"/>
    <col min="1802" max="1803" width="15.1796875" style="7" customWidth="1"/>
    <col min="1804" max="1804" width="14.81640625" style="7" customWidth="1"/>
    <col min="1805" max="2048" width="9.1796875" style="7"/>
    <col min="2049" max="2049" width="4.81640625" style="7" bestFit="1" customWidth="1"/>
    <col min="2050" max="2050" width="69.81640625" style="7" customWidth="1"/>
    <col min="2051" max="2051" width="10.1796875" style="7" bestFit="1" customWidth="1"/>
    <col min="2052" max="2052" width="6.26953125" style="7" customWidth="1"/>
    <col min="2053" max="2053" width="21.81640625" style="7" customWidth="1"/>
    <col min="2054" max="2054" width="19.54296875" style="7" customWidth="1"/>
    <col min="2055" max="2055" width="20.26953125" style="7" customWidth="1"/>
    <col min="2056" max="2056" width="15.7265625" style="7" customWidth="1"/>
    <col min="2057" max="2057" width="6" style="7" customWidth="1"/>
    <col min="2058" max="2059" width="15.1796875" style="7" customWidth="1"/>
    <col min="2060" max="2060" width="14.81640625" style="7" customWidth="1"/>
    <col min="2061" max="2304" width="9.1796875" style="7"/>
    <col min="2305" max="2305" width="4.81640625" style="7" bestFit="1" customWidth="1"/>
    <col min="2306" max="2306" width="69.81640625" style="7" customWidth="1"/>
    <col min="2307" max="2307" width="10.1796875" style="7" bestFit="1" customWidth="1"/>
    <col min="2308" max="2308" width="6.26953125" style="7" customWidth="1"/>
    <col min="2309" max="2309" width="21.81640625" style="7" customWidth="1"/>
    <col min="2310" max="2310" width="19.54296875" style="7" customWidth="1"/>
    <col min="2311" max="2311" width="20.26953125" style="7" customWidth="1"/>
    <col min="2312" max="2312" width="15.7265625" style="7" customWidth="1"/>
    <col min="2313" max="2313" width="6" style="7" customWidth="1"/>
    <col min="2314" max="2315" width="15.1796875" style="7" customWidth="1"/>
    <col min="2316" max="2316" width="14.81640625" style="7" customWidth="1"/>
    <col min="2317" max="2560" width="9.1796875" style="7"/>
    <col min="2561" max="2561" width="4.81640625" style="7" bestFit="1" customWidth="1"/>
    <col min="2562" max="2562" width="69.81640625" style="7" customWidth="1"/>
    <col min="2563" max="2563" width="10.1796875" style="7" bestFit="1" customWidth="1"/>
    <col min="2564" max="2564" width="6.26953125" style="7" customWidth="1"/>
    <col min="2565" max="2565" width="21.81640625" style="7" customWidth="1"/>
    <col min="2566" max="2566" width="19.54296875" style="7" customWidth="1"/>
    <col min="2567" max="2567" width="20.26953125" style="7" customWidth="1"/>
    <col min="2568" max="2568" width="15.7265625" style="7" customWidth="1"/>
    <col min="2569" max="2569" width="6" style="7" customWidth="1"/>
    <col min="2570" max="2571" width="15.1796875" style="7" customWidth="1"/>
    <col min="2572" max="2572" width="14.81640625" style="7" customWidth="1"/>
    <col min="2573" max="2816" width="9.1796875" style="7"/>
    <col min="2817" max="2817" width="4.81640625" style="7" bestFit="1" customWidth="1"/>
    <col min="2818" max="2818" width="69.81640625" style="7" customWidth="1"/>
    <col min="2819" max="2819" width="10.1796875" style="7" bestFit="1" customWidth="1"/>
    <col min="2820" max="2820" width="6.26953125" style="7" customWidth="1"/>
    <col min="2821" max="2821" width="21.81640625" style="7" customWidth="1"/>
    <col min="2822" max="2822" width="19.54296875" style="7" customWidth="1"/>
    <col min="2823" max="2823" width="20.26953125" style="7" customWidth="1"/>
    <col min="2824" max="2824" width="15.7265625" style="7" customWidth="1"/>
    <col min="2825" max="2825" width="6" style="7" customWidth="1"/>
    <col min="2826" max="2827" width="15.1796875" style="7" customWidth="1"/>
    <col min="2828" max="2828" width="14.81640625" style="7" customWidth="1"/>
    <col min="2829" max="3072" width="9.1796875" style="7"/>
    <col min="3073" max="3073" width="4.81640625" style="7" bestFit="1" customWidth="1"/>
    <col min="3074" max="3074" width="69.81640625" style="7" customWidth="1"/>
    <col min="3075" max="3075" width="10.1796875" style="7" bestFit="1" customWidth="1"/>
    <col min="3076" max="3076" width="6.26953125" style="7" customWidth="1"/>
    <col min="3077" max="3077" width="21.81640625" style="7" customWidth="1"/>
    <col min="3078" max="3078" width="19.54296875" style="7" customWidth="1"/>
    <col min="3079" max="3079" width="20.26953125" style="7" customWidth="1"/>
    <col min="3080" max="3080" width="15.7265625" style="7" customWidth="1"/>
    <col min="3081" max="3081" width="6" style="7" customWidth="1"/>
    <col min="3082" max="3083" width="15.1796875" style="7" customWidth="1"/>
    <col min="3084" max="3084" width="14.81640625" style="7" customWidth="1"/>
    <col min="3085" max="3328" width="9.1796875" style="7"/>
    <col min="3329" max="3329" width="4.81640625" style="7" bestFit="1" customWidth="1"/>
    <col min="3330" max="3330" width="69.81640625" style="7" customWidth="1"/>
    <col min="3331" max="3331" width="10.1796875" style="7" bestFit="1" customWidth="1"/>
    <col min="3332" max="3332" width="6.26953125" style="7" customWidth="1"/>
    <col min="3333" max="3333" width="21.81640625" style="7" customWidth="1"/>
    <col min="3334" max="3334" width="19.54296875" style="7" customWidth="1"/>
    <col min="3335" max="3335" width="20.26953125" style="7" customWidth="1"/>
    <col min="3336" max="3336" width="15.7265625" style="7" customWidth="1"/>
    <col min="3337" max="3337" width="6" style="7" customWidth="1"/>
    <col min="3338" max="3339" width="15.1796875" style="7" customWidth="1"/>
    <col min="3340" max="3340" width="14.81640625" style="7" customWidth="1"/>
    <col min="3341" max="3584" width="9.1796875" style="7"/>
    <col min="3585" max="3585" width="4.81640625" style="7" bestFit="1" customWidth="1"/>
    <col min="3586" max="3586" width="69.81640625" style="7" customWidth="1"/>
    <col min="3587" max="3587" width="10.1796875" style="7" bestFit="1" customWidth="1"/>
    <col min="3588" max="3588" width="6.26953125" style="7" customWidth="1"/>
    <col min="3589" max="3589" width="21.81640625" style="7" customWidth="1"/>
    <col min="3590" max="3590" width="19.54296875" style="7" customWidth="1"/>
    <col min="3591" max="3591" width="20.26953125" style="7" customWidth="1"/>
    <col min="3592" max="3592" width="15.7265625" style="7" customWidth="1"/>
    <col min="3593" max="3593" width="6" style="7" customWidth="1"/>
    <col min="3594" max="3595" width="15.1796875" style="7" customWidth="1"/>
    <col min="3596" max="3596" width="14.81640625" style="7" customWidth="1"/>
    <col min="3597" max="3840" width="9.1796875" style="7"/>
    <col min="3841" max="3841" width="4.81640625" style="7" bestFit="1" customWidth="1"/>
    <col min="3842" max="3842" width="69.81640625" style="7" customWidth="1"/>
    <col min="3843" max="3843" width="10.1796875" style="7" bestFit="1" customWidth="1"/>
    <col min="3844" max="3844" width="6.26953125" style="7" customWidth="1"/>
    <col min="3845" max="3845" width="21.81640625" style="7" customWidth="1"/>
    <col min="3846" max="3846" width="19.54296875" style="7" customWidth="1"/>
    <col min="3847" max="3847" width="20.26953125" style="7" customWidth="1"/>
    <col min="3848" max="3848" width="15.7265625" style="7" customWidth="1"/>
    <col min="3849" max="3849" width="6" style="7" customWidth="1"/>
    <col min="3850" max="3851" width="15.1796875" style="7" customWidth="1"/>
    <col min="3852" max="3852" width="14.81640625" style="7" customWidth="1"/>
    <col min="3853" max="4096" width="9.1796875" style="7"/>
    <col min="4097" max="4097" width="4.81640625" style="7" bestFit="1" customWidth="1"/>
    <col min="4098" max="4098" width="69.81640625" style="7" customWidth="1"/>
    <col min="4099" max="4099" width="10.1796875" style="7" bestFit="1" customWidth="1"/>
    <col min="4100" max="4100" width="6.26953125" style="7" customWidth="1"/>
    <col min="4101" max="4101" width="21.81640625" style="7" customWidth="1"/>
    <col min="4102" max="4102" width="19.54296875" style="7" customWidth="1"/>
    <col min="4103" max="4103" width="20.26953125" style="7" customWidth="1"/>
    <col min="4104" max="4104" width="15.7265625" style="7" customWidth="1"/>
    <col min="4105" max="4105" width="6" style="7" customWidth="1"/>
    <col min="4106" max="4107" width="15.1796875" style="7" customWidth="1"/>
    <col min="4108" max="4108" width="14.81640625" style="7" customWidth="1"/>
    <col min="4109" max="4352" width="9.1796875" style="7"/>
    <col min="4353" max="4353" width="4.81640625" style="7" bestFit="1" customWidth="1"/>
    <col min="4354" max="4354" width="69.81640625" style="7" customWidth="1"/>
    <col min="4355" max="4355" width="10.1796875" style="7" bestFit="1" customWidth="1"/>
    <col min="4356" max="4356" width="6.26953125" style="7" customWidth="1"/>
    <col min="4357" max="4357" width="21.81640625" style="7" customWidth="1"/>
    <col min="4358" max="4358" width="19.54296875" style="7" customWidth="1"/>
    <col min="4359" max="4359" width="20.26953125" style="7" customWidth="1"/>
    <col min="4360" max="4360" width="15.7265625" style="7" customWidth="1"/>
    <col min="4361" max="4361" width="6" style="7" customWidth="1"/>
    <col min="4362" max="4363" width="15.1796875" style="7" customWidth="1"/>
    <col min="4364" max="4364" width="14.81640625" style="7" customWidth="1"/>
    <col min="4365" max="4608" width="9.1796875" style="7"/>
    <col min="4609" max="4609" width="4.81640625" style="7" bestFit="1" customWidth="1"/>
    <col min="4610" max="4610" width="69.81640625" style="7" customWidth="1"/>
    <col min="4611" max="4611" width="10.1796875" style="7" bestFit="1" customWidth="1"/>
    <col min="4612" max="4612" width="6.26953125" style="7" customWidth="1"/>
    <col min="4613" max="4613" width="21.81640625" style="7" customWidth="1"/>
    <col min="4614" max="4614" width="19.54296875" style="7" customWidth="1"/>
    <col min="4615" max="4615" width="20.26953125" style="7" customWidth="1"/>
    <col min="4616" max="4616" width="15.7265625" style="7" customWidth="1"/>
    <col min="4617" max="4617" width="6" style="7" customWidth="1"/>
    <col min="4618" max="4619" width="15.1796875" style="7" customWidth="1"/>
    <col min="4620" max="4620" width="14.81640625" style="7" customWidth="1"/>
    <col min="4621" max="4864" width="9.1796875" style="7"/>
    <col min="4865" max="4865" width="4.81640625" style="7" bestFit="1" customWidth="1"/>
    <col min="4866" max="4866" width="69.81640625" style="7" customWidth="1"/>
    <col min="4867" max="4867" width="10.1796875" style="7" bestFit="1" customWidth="1"/>
    <col min="4868" max="4868" width="6.26953125" style="7" customWidth="1"/>
    <col min="4869" max="4869" width="21.81640625" style="7" customWidth="1"/>
    <col min="4870" max="4870" width="19.54296875" style="7" customWidth="1"/>
    <col min="4871" max="4871" width="20.26953125" style="7" customWidth="1"/>
    <col min="4872" max="4872" width="15.7265625" style="7" customWidth="1"/>
    <col min="4873" max="4873" width="6" style="7" customWidth="1"/>
    <col min="4874" max="4875" width="15.1796875" style="7" customWidth="1"/>
    <col min="4876" max="4876" width="14.81640625" style="7" customWidth="1"/>
    <col min="4877" max="5120" width="9.1796875" style="7"/>
    <col min="5121" max="5121" width="4.81640625" style="7" bestFit="1" customWidth="1"/>
    <col min="5122" max="5122" width="69.81640625" style="7" customWidth="1"/>
    <col min="5123" max="5123" width="10.1796875" style="7" bestFit="1" customWidth="1"/>
    <col min="5124" max="5124" width="6.26953125" style="7" customWidth="1"/>
    <col min="5125" max="5125" width="21.81640625" style="7" customWidth="1"/>
    <col min="5126" max="5126" width="19.54296875" style="7" customWidth="1"/>
    <col min="5127" max="5127" width="20.26953125" style="7" customWidth="1"/>
    <col min="5128" max="5128" width="15.7265625" style="7" customWidth="1"/>
    <col min="5129" max="5129" width="6" style="7" customWidth="1"/>
    <col min="5130" max="5131" width="15.1796875" style="7" customWidth="1"/>
    <col min="5132" max="5132" width="14.81640625" style="7" customWidth="1"/>
    <col min="5133" max="5376" width="9.1796875" style="7"/>
    <col min="5377" max="5377" width="4.81640625" style="7" bestFit="1" customWidth="1"/>
    <col min="5378" max="5378" width="69.81640625" style="7" customWidth="1"/>
    <col min="5379" max="5379" width="10.1796875" style="7" bestFit="1" customWidth="1"/>
    <col min="5380" max="5380" width="6.26953125" style="7" customWidth="1"/>
    <col min="5381" max="5381" width="21.81640625" style="7" customWidth="1"/>
    <col min="5382" max="5382" width="19.54296875" style="7" customWidth="1"/>
    <col min="5383" max="5383" width="20.26953125" style="7" customWidth="1"/>
    <col min="5384" max="5384" width="15.7265625" style="7" customWidth="1"/>
    <col min="5385" max="5385" width="6" style="7" customWidth="1"/>
    <col min="5386" max="5387" width="15.1796875" style="7" customWidth="1"/>
    <col min="5388" max="5388" width="14.81640625" style="7" customWidth="1"/>
    <col min="5389" max="5632" width="9.1796875" style="7"/>
    <col min="5633" max="5633" width="4.81640625" style="7" bestFit="1" customWidth="1"/>
    <col min="5634" max="5634" width="69.81640625" style="7" customWidth="1"/>
    <col min="5635" max="5635" width="10.1796875" style="7" bestFit="1" customWidth="1"/>
    <col min="5636" max="5636" width="6.26953125" style="7" customWidth="1"/>
    <col min="5637" max="5637" width="21.81640625" style="7" customWidth="1"/>
    <col min="5638" max="5638" width="19.54296875" style="7" customWidth="1"/>
    <col min="5639" max="5639" width="20.26953125" style="7" customWidth="1"/>
    <col min="5640" max="5640" width="15.7265625" style="7" customWidth="1"/>
    <col min="5641" max="5641" width="6" style="7" customWidth="1"/>
    <col min="5642" max="5643" width="15.1796875" style="7" customWidth="1"/>
    <col min="5644" max="5644" width="14.81640625" style="7" customWidth="1"/>
    <col min="5645" max="5888" width="9.1796875" style="7"/>
    <col min="5889" max="5889" width="4.81640625" style="7" bestFit="1" customWidth="1"/>
    <col min="5890" max="5890" width="69.81640625" style="7" customWidth="1"/>
    <col min="5891" max="5891" width="10.1796875" style="7" bestFit="1" customWidth="1"/>
    <col min="5892" max="5892" width="6.26953125" style="7" customWidth="1"/>
    <col min="5893" max="5893" width="21.81640625" style="7" customWidth="1"/>
    <col min="5894" max="5894" width="19.54296875" style="7" customWidth="1"/>
    <col min="5895" max="5895" width="20.26953125" style="7" customWidth="1"/>
    <col min="5896" max="5896" width="15.7265625" style="7" customWidth="1"/>
    <col min="5897" max="5897" width="6" style="7" customWidth="1"/>
    <col min="5898" max="5899" width="15.1796875" style="7" customWidth="1"/>
    <col min="5900" max="5900" width="14.81640625" style="7" customWidth="1"/>
    <col min="5901" max="6144" width="9.1796875" style="7"/>
    <col min="6145" max="6145" width="4.81640625" style="7" bestFit="1" customWidth="1"/>
    <col min="6146" max="6146" width="69.81640625" style="7" customWidth="1"/>
    <col min="6147" max="6147" width="10.1796875" style="7" bestFit="1" customWidth="1"/>
    <col min="6148" max="6148" width="6.26953125" style="7" customWidth="1"/>
    <col min="6149" max="6149" width="21.81640625" style="7" customWidth="1"/>
    <col min="6150" max="6150" width="19.54296875" style="7" customWidth="1"/>
    <col min="6151" max="6151" width="20.26953125" style="7" customWidth="1"/>
    <col min="6152" max="6152" width="15.7265625" style="7" customWidth="1"/>
    <col min="6153" max="6153" width="6" style="7" customWidth="1"/>
    <col min="6154" max="6155" width="15.1796875" style="7" customWidth="1"/>
    <col min="6156" max="6156" width="14.81640625" style="7" customWidth="1"/>
    <col min="6157" max="6400" width="9.1796875" style="7"/>
    <col min="6401" max="6401" width="4.81640625" style="7" bestFit="1" customWidth="1"/>
    <col min="6402" max="6402" width="69.81640625" style="7" customWidth="1"/>
    <col min="6403" max="6403" width="10.1796875" style="7" bestFit="1" customWidth="1"/>
    <col min="6404" max="6404" width="6.26953125" style="7" customWidth="1"/>
    <col min="6405" max="6405" width="21.81640625" style="7" customWidth="1"/>
    <col min="6406" max="6406" width="19.54296875" style="7" customWidth="1"/>
    <col min="6407" max="6407" width="20.26953125" style="7" customWidth="1"/>
    <col min="6408" max="6408" width="15.7265625" style="7" customWidth="1"/>
    <col min="6409" max="6409" width="6" style="7" customWidth="1"/>
    <col min="6410" max="6411" width="15.1796875" style="7" customWidth="1"/>
    <col min="6412" max="6412" width="14.81640625" style="7" customWidth="1"/>
    <col min="6413" max="6656" width="9.1796875" style="7"/>
    <col min="6657" max="6657" width="4.81640625" style="7" bestFit="1" customWidth="1"/>
    <col min="6658" max="6658" width="69.81640625" style="7" customWidth="1"/>
    <col min="6659" max="6659" width="10.1796875" style="7" bestFit="1" customWidth="1"/>
    <col min="6660" max="6660" width="6.26953125" style="7" customWidth="1"/>
    <col min="6661" max="6661" width="21.81640625" style="7" customWidth="1"/>
    <col min="6662" max="6662" width="19.54296875" style="7" customWidth="1"/>
    <col min="6663" max="6663" width="20.26953125" style="7" customWidth="1"/>
    <col min="6664" max="6664" width="15.7265625" style="7" customWidth="1"/>
    <col min="6665" max="6665" width="6" style="7" customWidth="1"/>
    <col min="6666" max="6667" width="15.1796875" style="7" customWidth="1"/>
    <col min="6668" max="6668" width="14.81640625" style="7" customWidth="1"/>
    <col min="6669" max="6912" width="9.1796875" style="7"/>
    <col min="6913" max="6913" width="4.81640625" style="7" bestFit="1" customWidth="1"/>
    <col min="6914" max="6914" width="69.81640625" style="7" customWidth="1"/>
    <col min="6915" max="6915" width="10.1796875" style="7" bestFit="1" customWidth="1"/>
    <col min="6916" max="6916" width="6.26953125" style="7" customWidth="1"/>
    <col min="6917" max="6917" width="21.81640625" style="7" customWidth="1"/>
    <col min="6918" max="6918" width="19.54296875" style="7" customWidth="1"/>
    <col min="6919" max="6919" width="20.26953125" style="7" customWidth="1"/>
    <col min="6920" max="6920" width="15.7265625" style="7" customWidth="1"/>
    <col min="6921" max="6921" width="6" style="7" customWidth="1"/>
    <col min="6922" max="6923" width="15.1796875" style="7" customWidth="1"/>
    <col min="6924" max="6924" width="14.81640625" style="7" customWidth="1"/>
    <col min="6925" max="7168" width="9.1796875" style="7"/>
    <col min="7169" max="7169" width="4.81640625" style="7" bestFit="1" customWidth="1"/>
    <col min="7170" max="7170" width="69.81640625" style="7" customWidth="1"/>
    <col min="7171" max="7171" width="10.1796875" style="7" bestFit="1" customWidth="1"/>
    <col min="7172" max="7172" width="6.26953125" style="7" customWidth="1"/>
    <col min="7173" max="7173" width="21.81640625" style="7" customWidth="1"/>
    <col min="7174" max="7174" width="19.54296875" style="7" customWidth="1"/>
    <col min="7175" max="7175" width="20.26953125" style="7" customWidth="1"/>
    <col min="7176" max="7176" width="15.7265625" style="7" customWidth="1"/>
    <col min="7177" max="7177" width="6" style="7" customWidth="1"/>
    <col min="7178" max="7179" width="15.1796875" style="7" customWidth="1"/>
    <col min="7180" max="7180" width="14.81640625" style="7" customWidth="1"/>
    <col min="7181" max="7424" width="9.1796875" style="7"/>
    <col min="7425" max="7425" width="4.81640625" style="7" bestFit="1" customWidth="1"/>
    <col min="7426" max="7426" width="69.81640625" style="7" customWidth="1"/>
    <col min="7427" max="7427" width="10.1796875" style="7" bestFit="1" customWidth="1"/>
    <col min="7428" max="7428" width="6.26953125" style="7" customWidth="1"/>
    <col min="7429" max="7429" width="21.81640625" style="7" customWidth="1"/>
    <col min="7430" max="7430" width="19.54296875" style="7" customWidth="1"/>
    <col min="7431" max="7431" width="20.26953125" style="7" customWidth="1"/>
    <col min="7432" max="7432" width="15.7265625" style="7" customWidth="1"/>
    <col min="7433" max="7433" width="6" style="7" customWidth="1"/>
    <col min="7434" max="7435" width="15.1796875" style="7" customWidth="1"/>
    <col min="7436" max="7436" width="14.81640625" style="7" customWidth="1"/>
    <col min="7437" max="7680" width="9.1796875" style="7"/>
    <col min="7681" max="7681" width="4.81640625" style="7" bestFit="1" customWidth="1"/>
    <col min="7682" max="7682" width="69.81640625" style="7" customWidth="1"/>
    <col min="7683" max="7683" width="10.1796875" style="7" bestFit="1" customWidth="1"/>
    <col min="7684" max="7684" width="6.26953125" style="7" customWidth="1"/>
    <col min="7685" max="7685" width="21.81640625" style="7" customWidth="1"/>
    <col min="7686" max="7686" width="19.54296875" style="7" customWidth="1"/>
    <col min="7687" max="7687" width="20.26953125" style="7" customWidth="1"/>
    <col min="7688" max="7688" width="15.7265625" style="7" customWidth="1"/>
    <col min="7689" max="7689" width="6" style="7" customWidth="1"/>
    <col min="7690" max="7691" width="15.1796875" style="7" customWidth="1"/>
    <col min="7692" max="7692" width="14.81640625" style="7" customWidth="1"/>
    <col min="7693" max="7936" width="9.1796875" style="7"/>
    <col min="7937" max="7937" width="4.81640625" style="7" bestFit="1" customWidth="1"/>
    <col min="7938" max="7938" width="69.81640625" style="7" customWidth="1"/>
    <col min="7939" max="7939" width="10.1796875" style="7" bestFit="1" customWidth="1"/>
    <col min="7940" max="7940" width="6.26953125" style="7" customWidth="1"/>
    <col min="7941" max="7941" width="21.81640625" style="7" customWidth="1"/>
    <col min="7942" max="7942" width="19.54296875" style="7" customWidth="1"/>
    <col min="7943" max="7943" width="20.26953125" style="7" customWidth="1"/>
    <col min="7944" max="7944" width="15.7265625" style="7" customWidth="1"/>
    <col min="7945" max="7945" width="6" style="7" customWidth="1"/>
    <col min="7946" max="7947" width="15.1796875" style="7" customWidth="1"/>
    <col min="7948" max="7948" width="14.81640625" style="7" customWidth="1"/>
    <col min="7949" max="8192" width="9.1796875" style="7"/>
    <col min="8193" max="8193" width="4.81640625" style="7" bestFit="1" customWidth="1"/>
    <col min="8194" max="8194" width="69.81640625" style="7" customWidth="1"/>
    <col min="8195" max="8195" width="10.1796875" style="7" bestFit="1" customWidth="1"/>
    <col min="8196" max="8196" width="6.26953125" style="7" customWidth="1"/>
    <col min="8197" max="8197" width="21.81640625" style="7" customWidth="1"/>
    <col min="8198" max="8198" width="19.54296875" style="7" customWidth="1"/>
    <col min="8199" max="8199" width="20.26953125" style="7" customWidth="1"/>
    <col min="8200" max="8200" width="15.7265625" style="7" customWidth="1"/>
    <col min="8201" max="8201" width="6" style="7" customWidth="1"/>
    <col min="8202" max="8203" width="15.1796875" style="7" customWidth="1"/>
    <col min="8204" max="8204" width="14.81640625" style="7" customWidth="1"/>
    <col min="8205" max="8448" width="9.1796875" style="7"/>
    <col min="8449" max="8449" width="4.81640625" style="7" bestFit="1" customWidth="1"/>
    <col min="8450" max="8450" width="69.81640625" style="7" customWidth="1"/>
    <col min="8451" max="8451" width="10.1796875" style="7" bestFit="1" customWidth="1"/>
    <col min="8452" max="8452" width="6.26953125" style="7" customWidth="1"/>
    <col min="8453" max="8453" width="21.81640625" style="7" customWidth="1"/>
    <col min="8454" max="8454" width="19.54296875" style="7" customWidth="1"/>
    <col min="8455" max="8455" width="20.26953125" style="7" customWidth="1"/>
    <col min="8456" max="8456" width="15.7265625" style="7" customWidth="1"/>
    <col min="8457" max="8457" width="6" style="7" customWidth="1"/>
    <col min="8458" max="8459" width="15.1796875" style="7" customWidth="1"/>
    <col min="8460" max="8460" width="14.81640625" style="7" customWidth="1"/>
    <col min="8461" max="8704" width="9.1796875" style="7"/>
    <col min="8705" max="8705" width="4.81640625" style="7" bestFit="1" customWidth="1"/>
    <col min="8706" max="8706" width="69.81640625" style="7" customWidth="1"/>
    <col min="8707" max="8707" width="10.1796875" style="7" bestFit="1" customWidth="1"/>
    <col min="8708" max="8708" width="6.26953125" style="7" customWidth="1"/>
    <col min="8709" max="8709" width="21.81640625" style="7" customWidth="1"/>
    <col min="8710" max="8710" width="19.54296875" style="7" customWidth="1"/>
    <col min="8711" max="8711" width="20.26953125" style="7" customWidth="1"/>
    <col min="8712" max="8712" width="15.7265625" style="7" customWidth="1"/>
    <col min="8713" max="8713" width="6" style="7" customWidth="1"/>
    <col min="8714" max="8715" width="15.1796875" style="7" customWidth="1"/>
    <col min="8716" max="8716" width="14.81640625" style="7" customWidth="1"/>
    <col min="8717" max="8960" width="9.1796875" style="7"/>
    <col min="8961" max="8961" width="4.81640625" style="7" bestFit="1" customWidth="1"/>
    <col min="8962" max="8962" width="69.81640625" style="7" customWidth="1"/>
    <col min="8963" max="8963" width="10.1796875" style="7" bestFit="1" customWidth="1"/>
    <col min="8964" max="8964" width="6.26953125" style="7" customWidth="1"/>
    <col min="8965" max="8965" width="21.81640625" style="7" customWidth="1"/>
    <col min="8966" max="8966" width="19.54296875" style="7" customWidth="1"/>
    <col min="8967" max="8967" width="20.26953125" style="7" customWidth="1"/>
    <col min="8968" max="8968" width="15.7265625" style="7" customWidth="1"/>
    <col min="8969" max="8969" width="6" style="7" customWidth="1"/>
    <col min="8970" max="8971" width="15.1796875" style="7" customWidth="1"/>
    <col min="8972" max="8972" width="14.81640625" style="7" customWidth="1"/>
    <col min="8973" max="9216" width="9.1796875" style="7"/>
    <col min="9217" max="9217" width="4.81640625" style="7" bestFit="1" customWidth="1"/>
    <col min="9218" max="9218" width="69.81640625" style="7" customWidth="1"/>
    <col min="9219" max="9219" width="10.1796875" style="7" bestFit="1" customWidth="1"/>
    <col min="9220" max="9220" width="6.26953125" style="7" customWidth="1"/>
    <col min="9221" max="9221" width="21.81640625" style="7" customWidth="1"/>
    <col min="9222" max="9222" width="19.54296875" style="7" customWidth="1"/>
    <col min="9223" max="9223" width="20.26953125" style="7" customWidth="1"/>
    <col min="9224" max="9224" width="15.7265625" style="7" customWidth="1"/>
    <col min="9225" max="9225" width="6" style="7" customWidth="1"/>
    <col min="9226" max="9227" width="15.1796875" style="7" customWidth="1"/>
    <col min="9228" max="9228" width="14.81640625" style="7" customWidth="1"/>
    <col min="9229" max="9472" width="9.1796875" style="7"/>
    <col min="9473" max="9473" width="4.81640625" style="7" bestFit="1" customWidth="1"/>
    <col min="9474" max="9474" width="69.81640625" style="7" customWidth="1"/>
    <col min="9475" max="9475" width="10.1796875" style="7" bestFit="1" customWidth="1"/>
    <col min="9476" max="9476" width="6.26953125" style="7" customWidth="1"/>
    <col min="9477" max="9477" width="21.81640625" style="7" customWidth="1"/>
    <col min="9478" max="9478" width="19.54296875" style="7" customWidth="1"/>
    <col min="9479" max="9479" width="20.26953125" style="7" customWidth="1"/>
    <col min="9480" max="9480" width="15.7265625" style="7" customWidth="1"/>
    <col min="9481" max="9481" width="6" style="7" customWidth="1"/>
    <col min="9482" max="9483" width="15.1796875" style="7" customWidth="1"/>
    <col min="9484" max="9484" width="14.81640625" style="7" customWidth="1"/>
    <col min="9485" max="9728" width="9.1796875" style="7"/>
    <col min="9729" max="9729" width="4.81640625" style="7" bestFit="1" customWidth="1"/>
    <col min="9730" max="9730" width="69.81640625" style="7" customWidth="1"/>
    <col min="9731" max="9731" width="10.1796875" style="7" bestFit="1" customWidth="1"/>
    <col min="9732" max="9732" width="6.26953125" style="7" customWidth="1"/>
    <col min="9733" max="9733" width="21.81640625" style="7" customWidth="1"/>
    <col min="9734" max="9734" width="19.54296875" style="7" customWidth="1"/>
    <col min="9735" max="9735" width="20.26953125" style="7" customWidth="1"/>
    <col min="9736" max="9736" width="15.7265625" style="7" customWidth="1"/>
    <col min="9737" max="9737" width="6" style="7" customWidth="1"/>
    <col min="9738" max="9739" width="15.1796875" style="7" customWidth="1"/>
    <col min="9740" max="9740" width="14.81640625" style="7" customWidth="1"/>
    <col min="9741" max="9984" width="9.1796875" style="7"/>
    <col min="9985" max="9985" width="4.81640625" style="7" bestFit="1" customWidth="1"/>
    <col min="9986" max="9986" width="69.81640625" style="7" customWidth="1"/>
    <col min="9987" max="9987" width="10.1796875" style="7" bestFit="1" customWidth="1"/>
    <col min="9988" max="9988" width="6.26953125" style="7" customWidth="1"/>
    <col min="9989" max="9989" width="21.81640625" style="7" customWidth="1"/>
    <col min="9990" max="9990" width="19.54296875" style="7" customWidth="1"/>
    <col min="9991" max="9991" width="20.26953125" style="7" customWidth="1"/>
    <col min="9992" max="9992" width="15.7265625" style="7" customWidth="1"/>
    <col min="9993" max="9993" width="6" style="7" customWidth="1"/>
    <col min="9994" max="9995" width="15.1796875" style="7" customWidth="1"/>
    <col min="9996" max="9996" width="14.81640625" style="7" customWidth="1"/>
    <col min="9997" max="10240" width="9.1796875" style="7"/>
    <col min="10241" max="10241" width="4.81640625" style="7" bestFit="1" customWidth="1"/>
    <col min="10242" max="10242" width="69.81640625" style="7" customWidth="1"/>
    <col min="10243" max="10243" width="10.1796875" style="7" bestFit="1" customWidth="1"/>
    <col min="10244" max="10244" width="6.26953125" style="7" customWidth="1"/>
    <col min="10245" max="10245" width="21.81640625" style="7" customWidth="1"/>
    <col min="10246" max="10246" width="19.54296875" style="7" customWidth="1"/>
    <col min="10247" max="10247" width="20.26953125" style="7" customWidth="1"/>
    <col min="10248" max="10248" width="15.7265625" style="7" customWidth="1"/>
    <col min="10249" max="10249" width="6" style="7" customWidth="1"/>
    <col min="10250" max="10251" width="15.1796875" style="7" customWidth="1"/>
    <col min="10252" max="10252" width="14.81640625" style="7" customWidth="1"/>
    <col min="10253" max="10496" width="9.1796875" style="7"/>
    <col min="10497" max="10497" width="4.81640625" style="7" bestFit="1" customWidth="1"/>
    <col min="10498" max="10498" width="69.81640625" style="7" customWidth="1"/>
    <col min="10499" max="10499" width="10.1796875" style="7" bestFit="1" customWidth="1"/>
    <col min="10500" max="10500" width="6.26953125" style="7" customWidth="1"/>
    <col min="10501" max="10501" width="21.81640625" style="7" customWidth="1"/>
    <col min="10502" max="10502" width="19.54296875" style="7" customWidth="1"/>
    <col min="10503" max="10503" width="20.26953125" style="7" customWidth="1"/>
    <col min="10504" max="10504" width="15.7265625" style="7" customWidth="1"/>
    <col min="10505" max="10505" width="6" style="7" customWidth="1"/>
    <col min="10506" max="10507" width="15.1796875" style="7" customWidth="1"/>
    <col min="10508" max="10508" width="14.81640625" style="7" customWidth="1"/>
    <col min="10509" max="10752" width="9.1796875" style="7"/>
    <col min="10753" max="10753" width="4.81640625" style="7" bestFit="1" customWidth="1"/>
    <col min="10754" max="10754" width="69.81640625" style="7" customWidth="1"/>
    <col min="10755" max="10755" width="10.1796875" style="7" bestFit="1" customWidth="1"/>
    <col min="10756" max="10756" width="6.26953125" style="7" customWidth="1"/>
    <col min="10757" max="10757" width="21.81640625" style="7" customWidth="1"/>
    <col min="10758" max="10758" width="19.54296875" style="7" customWidth="1"/>
    <col min="10759" max="10759" width="20.26953125" style="7" customWidth="1"/>
    <col min="10760" max="10760" width="15.7265625" style="7" customWidth="1"/>
    <col min="10761" max="10761" width="6" style="7" customWidth="1"/>
    <col min="10762" max="10763" width="15.1796875" style="7" customWidth="1"/>
    <col min="10764" max="10764" width="14.81640625" style="7" customWidth="1"/>
    <col min="10765" max="11008" width="9.1796875" style="7"/>
    <col min="11009" max="11009" width="4.81640625" style="7" bestFit="1" customWidth="1"/>
    <col min="11010" max="11010" width="69.81640625" style="7" customWidth="1"/>
    <col min="11011" max="11011" width="10.1796875" style="7" bestFit="1" customWidth="1"/>
    <col min="11012" max="11012" width="6.26953125" style="7" customWidth="1"/>
    <col min="11013" max="11013" width="21.81640625" style="7" customWidth="1"/>
    <col min="11014" max="11014" width="19.54296875" style="7" customWidth="1"/>
    <col min="11015" max="11015" width="20.26953125" style="7" customWidth="1"/>
    <col min="11016" max="11016" width="15.7265625" style="7" customWidth="1"/>
    <col min="11017" max="11017" width="6" style="7" customWidth="1"/>
    <col min="11018" max="11019" width="15.1796875" style="7" customWidth="1"/>
    <col min="11020" max="11020" width="14.81640625" style="7" customWidth="1"/>
    <col min="11021" max="11264" width="9.1796875" style="7"/>
    <col min="11265" max="11265" width="4.81640625" style="7" bestFit="1" customWidth="1"/>
    <col min="11266" max="11266" width="69.81640625" style="7" customWidth="1"/>
    <col min="11267" max="11267" width="10.1796875" style="7" bestFit="1" customWidth="1"/>
    <col min="11268" max="11268" width="6.26953125" style="7" customWidth="1"/>
    <col min="11269" max="11269" width="21.81640625" style="7" customWidth="1"/>
    <col min="11270" max="11270" width="19.54296875" style="7" customWidth="1"/>
    <col min="11271" max="11271" width="20.26953125" style="7" customWidth="1"/>
    <col min="11272" max="11272" width="15.7265625" style="7" customWidth="1"/>
    <col min="11273" max="11273" width="6" style="7" customWidth="1"/>
    <col min="11274" max="11275" width="15.1796875" style="7" customWidth="1"/>
    <col min="11276" max="11276" width="14.81640625" style="7" customWidth="1"/>
    <col min="11277" max="11520" width="9.1796875" style="7"/>
    <col min="11521" max="11521" width="4.81640625" style="7" bestFit="1" customWidth="1"/>
    <col min="11522" max="11522" width="69.81640625" style="7" customWidth="1"/>
    <col min="11523" max="11523" width="10.1796875" style="7" bestFit="1" customWidth="1"/>
    <col min="11524" max="11524" width="6.26953125" style="7" customWidth="1"/>
    <col min="11525" max="11525" width="21.81640625" style="7" customWidth="1"/>
    <col min="11526" max="11526" width="19.54296875" style="7" customWidth="1"/>
    <col min="11527" max="11527" width="20.26953125" style="7" customWidth="1"/>
    <col min="11528" max="11528" width="15.7265625" style="7" customWidth="1"/>
    <col min="11529" max="11529" width="6" style="7" customWidth="1"/>
    <col min="11530" max="11531" width="15.1796875" style="7" customWidth="1"/>
    <col min="11532" max="11532" width="14.81640625" style="7" customWidth="1"/>
    <col min="11533" max="11776" width="9.1796875" style="7"/>
    <col min="11777" max="11777" width="4.81640625" style="7" bestFit="1" customWidth="1"/>
    <col min="11778" max="11778" width="69.81640625" style="7" customWidth="1"/>
    <col min="11779" max="11779" width="10.1796875" style="7" bestFit="1" customWidth="1"/>
    <col min="11780" max="11780" width="6.26953125" style="7" customWidth="1"/>
    <col min="11781" max="11781" width="21.81640625" style="7" customWidth="1"/>
    <col min="11782" max="11782" width="19.54296875" style="7" customWidth="1"/>
    <col min="11783" max="11783" width="20.26953125" style="7" customWidth="1"/>
    <col min="11784" max="11784" width="15.7265625" style="7" customWidth="1"/>
    <col min="11785" max="11785" width="6" style="7" customWidth="1"/>
    <col min="11786" max="11787" width="15.1796875" style="7" customWidth="1"/>
    <col min="11788" max="11788" width="14.81640625" style="7" customWidth="1"/>
    <col min="11789" max="12032" width="9.1796875" style="7"/>
    <col min="12033" max="12033" width="4.81640625" style="7" bestFit="1" customWidth="1"/>
    <col min="12034" max="12034" width="69.81640625" style="7" customWidth="1"/>
    <col min="12035" max="12035" width="10.1796875" style="7" bestFit="1" customWidth="1"/>
    <col min="12036" max="12036" width="6.26953125" style="7" customWidth="1"/>
    <col min="12037" max="12037" width="21.81640625" style="7" customWidth="1"/>
    <col min="12038" max="12038" width="19.54296875" style="7" customWidth="1"/>
    <col min="12039" max="12039" width="20.26953125" style="7" customWidth="1"/>
    <col min="12040" max="12040" width="15.7265625" style="7" customWidth="1"/>
    <col min="12041" max="12041" width="6" style="7" customWidth="1"/>
    <col min="12042" max="12043" width="15.1796875" style="7" customWidth="1"/>
    <col min="12044" max="12044" width="14.81640625" style="7" customWidth="1"/>
    <col min="12045" max="12288" width="9.1796875" style="7"/>
    <col min="12289" max="12289" width="4.81640625" style="7" bestFit="1" customWidth="1"/>
    <col min="12290" max="12290" width="69.81640625" style="7" customWidth="1"/>
    <col min="12291" max="12291" width="10.1796875" style="7" bestFit="1" customWidth="1"/>
    <col min="12292" max="12292" width="6.26953125" style="7" customWidth="1"/>
    <col min="12293" max="12293" width="21.81640625" style="7" customWidth="1"/>
    <col min="12294" max="12294" width="19.54296875" style="7" customWidth="1"/>
    <col min="12295" max="12295" width="20.26953125" style="7" customWidth="1"/>
    <col min="12296" max="12296" width="15.7265625" style="7" customWidth="1"/>
    <col min="12297" max="12297" width="6" style="7" customWidth="1"/>
    <col min="12298" max="12299" width="15.1796875" style="7" customWidth="1"/>
    <col min="12300" max="12300" width="14.81640625" style="7" customWidth="1"/>
    <col min="12301" max="12544" width="9.1796875" style="7"/>
    <col min="12545" max="12545" width="4.81640625" style="7" bestFit="1" customWidth="1"/>
    <col min="12546" max="12546" width="69.81640625" style="7" customWidth="1"/>
    <col min="12547" max="12547" width="10.1796875" style="7" bestFit="1" customWidth="1"/>
    <col min="12548" max="12548" width="6.26953125" style="7" customWidth="1"/>
    <col min="12549" max="12549" width="21.81640625" style="7" customWidth="1"/>
    <col min="12550" max="12550" width="19.54296875" style="7" customWidth="1"/>
    <col min="12551" max="12551" width="20.26953125" style="7" customWidth="1"/>
    <col min="12552" max="12552" width="15.7265625" style="7" customWidth="1"/>
    <col min="12553" max="12553" width="6" style="7" customWidth="1"/>
    <col min="12554" max="12555" width="15.1796875" style="7" customWidth="1"/>
    <col min="12556" max="12556" width="14.81640625" style="7" customWidth="1"/>
    <col min="12557" max="12800" width="9.1796875" style="7"/>
    <col min="12801" max="12801" width="4.81640625" style="7" bestFit="1" customWidth="1"/>
    <col min="12802" max="12802" width="69.81640625" style="7" customWidth="1"/>
    <col min="12803" max="12803" width="10.1796875" style="7" bestFit="1" customWidth="1"/>
    <col min="12804" max="12804" width="6.26953125" style="7" customWidth="1"/>
    <col min="12805" max="12805" width="21.81640625" style="7" customWidth="1"/>
    <col min="12806" max="12806" width="19.54296875" style="7" customWidth="1"/>
    <col min="12807" max="12807" width="20.26953125" style="7" customWidth="1"/>
    <col min="12808" max="12808" width="15.7265625" style="7" customWidth="1"/>
    <col min="12809" max="12809" width="6" style="7" customWidth="1"/>
    <col min="12810" max="12811" width="15.1796875" style="7" customWidth="1"/>
    <col min="12812" max="12812" width="14.81640625" style="7" customWidth="1"/>
    <col min="12813" max="13056" width="9.1796875" style="7"/>
    <col min="13057" max="13057" width="4.81640625" style="7" bestFit="1" customWidth="1"/>
    <col min="13058" max="13058" width="69.81640625" style="7" customWidth="1"/>
    <col min="13059" max="13059" width="10.1796875" style="7" bestFit="1" customWidth="1"/>
    <col min="13060" max="13060" width="6.26953125" style="7" customWidth="1"/>
    <col min="13061" max="13061" width="21.81640625" style="7" customWidth="1"/>
    <col min="13062" max="13062" width="19.54296875" style="7" customWidth="1"/>
    <col min="13063" max="13063" width="20.26953125" style="7" customWidth="1"/>
    <col min="13064" max="13064" width="15.7265625" style="7" customWidth="1"/>
    <col min="13065" max="13065" width="6" style="7" customWidth="1"/>
    <col min="13066" max="13067" width="15.1796875" style="7" customWidth="1"/>
    <col min="13068" max="13068" width="14.81640625" style="7" customWidth="1"/>
    <col min="13069" max="13312" width="9.1796875" style="7"/>
    <col min="13313" max="13313" width="4.81640625" style="7" bestFit="1" customWidth="1"/>
    <col min="13314" max="13314" width="69.81640625" style="7" customWidth="1"/>
    <col min="13315" max="13315" width="10.1796875" style="7" bestFit="1" customWidth="1"/>
    <col min="13316" max="13316" width="6.26953125" style="7" customWidth="1"/>
    <col min="13317" max="13317" width="21.81640625" style="7" customWidth="1"/>
    <col min="13318" max="13318" width="19.54296875" style="7" customWidth="1"/>
    <col min="13319" max="13319" width="20.26953125" style="7" customWidth="1"/>
    <col min="13320" max="13320" width="15.7265625" style="7" customWidth="1"/>
    <col min="13321" max="13321" width="6" style="7" customWidth="1"/>
    <col min="13322" max="13323" width="15.1796875" style="7" customWidth="1"/>
    <col min="13324" max="13324" width="14.81640625" style="7" customWidth="1"/>
    <col min="13325" max="13568" width="9.1796875" style="7"/>
    <col min="13569" max="13569" width="4.81640625" style="7" bestFit="1" customWidth="1"/>
    <col min="13570" max="13570" width="69.81640625" style="7" customWidth="1"/>
    <col min="13571" max="13571" width="10.1796875" style="7" bestFit="1" customWidth="1"/>
    <col min="13572" max="13572" width="6.26953125" style="7" customWidth="1"/>
    <col min="13573" max="13573" width="21.81640625" style="7" customWidth="1"/>
    <col min="13574" max="13574" width="19.54296875" style="7" customWidth="1"/>
    <col min="13575" max="13575" width="20.26953125" style="7" customWidth="1"/>
    <col min="13576" max="13576" width="15.7265625" style="7" customWidth="1"/>
    <col min="13577" max="13577" width="6" style="7" customWidth="1"/>
    <col min="13578" max="13579" width="15.1796875" style="7" customWidth="1"/>
    <col min="13580" max="13580" width="14.81640625" style="7" customWidth="1"/>
    <col min="13581" max="13824" width="9.1796875" style="7"/>
    <col min="13825" max="13825" width="4.81640625" style="7" bestFit="1" customWidth="1"/>
    <col min="13826" max="13826" width="69.81640625" style="7" customWidth="1"/>
    <col min="13827" max="13827" width="10.1796875" style="7" bestFit="1" customWidth="1"/>
    <col min="13828" max="13828" width="6.26953125" style="7" customWidth="1"/>
    <col min="13829" max="13829" width="21.81640625" style="7" customWidth="1"/>
    <col min="13830" max="13830" width="19.54296875" style="7" customWidth="1"/>
    <col min="13831" max="13831" width="20.26953125" style="7" customWidth="1"/>
    <col min="13832" max="13832" width="15.7265625" style="7" customWidth="1"/>
    <col min="13833" max="13833" width="6" style="7" customWidth="1"/>
    <col min="13834" max="13835" width="15.1796875" style="7" customWidth="1"/>
    <col min="13836" max="13836" width="14.81640625" style="7" customWidth="1"/>
    <col min="13837" max="14080" width="9.1796875" style="7"/>
    <col min="14081" max="14081" width="4.81640625" style="7" bestFit="1" customWidth="1"/>
    <col min="14082" max="14082" width="69.81640625" style="7" customWidth="1"/>
    <col min="14083" max="14083" width="10.1796875" style="7" bestFit="1" customWidth="1"/>
    <col min="14084" max="14084" width="6.26953125" style="7" customWidth="1"/>
    <col min="14085" max="14085" width="21.81640625" style="7" customWidth="1"/>
    <col min="14086" max="14086" width="19.54296875" style="7" customWidth="1"/>
    <col min="14087" max="14087" width="20.26953125" style="7" customWidth="1"/>
    <col min="14088" max="14088" width="15.7265625" style="7" customWidth="1"/>
    <col min="14089" max="14089" width="6" style="7" customWidth="1"/>
    <col min="14090" max="14091" width="15.1796875" style="7" customWidth="1"/>
    <col min="14092" max="14092" width="14.81640625" style="7" customWidth="1"/>
    <col min="14093" max="14336" width="9.1796875" style="7"/>
    <col min="14337" max="14337" width="4.81640625" style="7" bestFit="1" customWidth="1"/>
    <col min="14338" max="14338" width="69.81640625" style="7" customWidth="1"/>
    <col min="14339" max="14339" width="10.1796875" style="7" bestFit="1" customWidth="1"/>
    <col min="14340" max="14340" width="6.26953125" style="7" customWidth="1"/>
    <col min="14341" max="14341" width="21.81640625" style="7" customWidth="1"/>
    <col min="14342" max="14342" width="19.54296875" style="7" customWidth="1"/>
    <col min="14343" max="14343" width="20.26953125" style="7" customWidth="1"/>
    <col min="14344" max="14344" width="15.7265625" style="7" customWidth="1"/>
    <col min="14345" max="14345" width="6" style="7" customWidth="1"/>
    <col min="14346" max="14347" width="15.1796875" style="7" customWidth="1"/>
    <col min="14348" max="14348" width="14.81640625" style="7" customWidth="1"/>
    <col min="14349" max="14592" width="9.1796875" style="7"/>
    <col min="14593" max="14593" width="4.81640625" style="7" bestFit="1" customWidth="1"/>
    <col min="14594" max="14594" width="69.81640625" style="7" customWidth="1"/>
    <col min="14595" max="14595" width="10.1796875" style="7" bestFit="1" customWidth="1"/>
    <col min="14596" max="14596" width="6.26953125" style="7" customWidth="1"/>
    <col min="14597" max="14597" width="21.81640625" style="7" customWidth="1"/>
    <col min="14598" max="14598" width="19.54296875" style="7" customWidth="1"/>
    <col min="14599" max="14599" width="20.26953125" style="7" customWidth="1"/>
    <col min="14600" max="14600" width="15.7265625" style="7" customWidth="1"/>
    <col min="14601" max="14601" width="6" style="7" customWidth="1"/>
    <col min="14602" max="14603" width="15.1796875" style="7" customWidth="1"/>
    <col min="14604" max="14604" width="14.81640625" style="7" customWidth="1"/>
    <col min="14605" max="14848" width="9.1796875" style="7"/>
    <col min="14849" max="14849" width="4.81640625" style="7" bestFit="1" customWidth="1"/>
    <col min="14850" max="14850" width="69.81640625" style="7" customWidth="1"/>
    <col min="14851" max="14851" width="10.1796875" style="7" bestFit="1" customWidth="1"/>
    <col min="14852" max="14852" width="6.26953125" style="7" customWidth="1"/>
    <col min="14853" max="14853" width="21.81640625" style="7" customWidth="1"/>
    <col min="14854" max="14854" width="19.54296875" style="7" customWidth="1"/>
    <col min="14855" max="14855" width="20.26953125" style="7" customWidth="1"/>
    <col min="14856" max="14856" width="15.7265625" style="7" customWidth="1"/>
    <col min="14857" max="14857" width="6" style="7" customWidth="1"/>
    <col min="14858" max="14859" width="15.1796875" style="7" customWidth="1"/>
    <col min="14860" max="14860" width="14.81640625" style="7" customWidth="1"/>
    <col min="14861" max="15104" width="9.1796875" style="7"/>
    <col min="15105" max="15105" width="4.81640625" style="7" bestFit="1" customWidth="1"/>
    <col min="15106" max="15106" width="69.81640625" style="7" customWidth="1"/>
    <col min="15107" max="15107" width="10.1796875" style="7" bestFit="1" customWidth="1"/>
    <col min="15108" max="15108" width="6.26953125" style="7" customWidth="1"/>
    <col min="15109" max="15109" width="21.81640625" style="7" customWidth="1"/>
    <col min="15110" max="15110" width="19.54296875" style="7" customWidth="1"/>
    <col min="15111" max="15111" width="20.26953125" style="7" customWidth="1"/>
    <col min="15112" max="15112" width="15.7265625" style="7" customWidth="1"/>
    <col min="15113" max="15113" width="6" style="7" customWidth="1"/>
    <col min="15114" max="15115" width="15.1796875" style="7" customWidth="1"/>
    <col min="15116" max="15116" width="14.81640625" style="7" customWidth="1"/>
    <col min="15117" max="15360" width="9.1796875" style="7"/>
    <col min="15361" max="15361" width="4.81640625" style="7" bestFit="1" customWidth="1"/>
    <col min="15362" max="15362" width="69.81640625" style="7" customWidth="1"/>
    <col min="15363" max="15363" width="10.1796875" style="7" bestFit="1" customWidth="1"/>
    <col min="15364" max="15364" width="6.26953125" style="7" customWidth="1"/>
    <col min="15365" max="15365" width="21.81640625" style="7" customWidth="1"/>
    <col min="15366" max="15366" width="19.54296875" style="7" customWidth="1"/>
    <col min="15367" max="15367" width="20.26953125" style="7" customWidth="1"/>
    <col min="15368" max="15368" width="15.7265625" style="7" customWidth="1"/>
    <col min="15369" max="15369" width="6" style="7" customWidth="1"/>
    <col min="15370" max="15371" width="15.1796875" style="7" customWidth="1"/>
    <col min="15372" max="15372" width="14.81640625" style="7" customWidth="1"/>
    <col min="15373" max="15616" width="9.1796875" style="7"/>
    <col min="15617" max="15617" width="4.81640625" style="7" bestFit="1" customWidth="1"/>
    <col min="15618" max="15618" width="69.81640625" style="7" customWidth="1"/>
    <col min="15619" max="15619" width="10.1796875" style="7" bestFit="1" customWidth="1"/>
    <col min="15620" max="15620" width="6.26953125" style="7" customWidth="1"/>
    <col min="15621" max="15621" width="21.81640625" style="7" customWidth="1"/>
    <col min="15622" max="15622" width="19.54296875" style="7" customWidth="1"/>
    <col min="15623" max="15623" width="20.26953125" style="7" customWidth="1"/>
    <col min="15624" max="15624" width="15.7265625" style="7" customWidth="1"/>
    <col min="15625" max="15625" width="6" style="7" customWidth="1"/>
    <col min="15626" max="15627" width="15.1796875" style="7" customWidth="1"/>
    <col min="15628" max="15628" width="14.81640625" style="7" customWidth="1"/>
    <col min="15629" max="15872" width="9.1796875" style="7"/>
    <col min="15873" max="15873" width="4.81640625" style="7" bestFit="1" customWidth="1"/>
    <col min="15874" max="15874" width="69.81640625" style="7" customWidth="1"/>
    <col min="15875" max="15875" width="10.1796875" style="7" bestFit="1" customWidth="1"/>
    <col min="15876" max="15876" width="6.26953125" style="7" customWidth="1"/>
    <col min="15877" max="15877" width="21.81640625" style="7" customWidth="1"/>
    <col min="15878" max="15878" width="19.54296875" style="7" customWidth="1"/>
    <col min="15879" max="15879" width="20.26953125" style="7" customWidth="1"/>
    <col min="15880" max="15880" width="15.7265625" style="7" customWidth="1"/>
    <col min="15881" max="15881" width="6" style="7" customWidth="1"/>
    <col min="15882" max="15883" width="15.1796875" style="7" customWidth="1"/>
    <col min="15884" max="15884" width="14.81640625" style="7" customWidth="1"/>
    <col min="15885" max="16128" width="9.1796875" style="7"/>
    <col min="16129" max="16129" width="4.81640625" style="7" bestFit="1" customWidth="1"/>
    <col min="16130" max="16130" width="69.81640625" style="7" customWidth="1"/>
    <col min="16131" max="16131" width="10.1796875" style="7" bestFit="1" customWidth="1"/>
    <col min="16132" max="16132" width="6.26953125" style="7" customWidth="1"/>
    <col min="16133" max="16133" width="21.81640625" style="7" customWidth="1"/>
    <col min="16134" max="16134" width="19.54296875" style="7" customWidth="1"/>
    <col min="16135" max="16135" width="20.26953125" style="7" customWidth="1"/>
    <col min="16136" max="16136" width="15.7265625" style="7" customWidth="1"/>
    <col min="16137" max="16137" width="6" style="7" customWidth="1"/>
    <col min="16138" max="16139" width="15.1796875" style="7" customWidth="1"/>
    <col min="16140" max="16140" width="14.81640625" style="7" customWidth="1"/>
    <col min="16141" max="16384" width="9.1796875" style="7"/>
  </cols>
  <sheetData>
    <row r="1" spans="1:12" ht="16" customHeight="1">
      <c r="A1" s="805"/>
      <c r="B1" s="805"/>
      <c r="C1" s="805"/>
      <c r="D1" s="805"/>
      <c r="E1" s="805"/>
      <c r="F1" s="805"/>
      <c r="G1" s="805"/>
      <c r="H1" s="805"/>
    </row>
    <row r="2" spans="1:12" ht="16" customHeight="1">
      <c r="A2" s="806"/>
      <c r="B2" s="806"/>
      <c r="C2" s="806"/>
      <c r="D2" s="806"/>
      <c r="E2" s="806"/>
      <c r="F2" s="806"/>
      <c r="G2" s="806"/>
      <c r="H2" s="806"/>
    </row>
    <row r="3" spans="1:12" ht="16" customHeight="1">
      <c r="A3" s="806"/>
      <c r="B3" s="806"/>
      <c r="C3" s="806"/>
      <c r="D3" s="806"/>
      <c r="E3" s="806"/>
      <c r="F3" s="806"/>
      <c r="G3" s="806"/>
      <c r="H3" s="806"/>
    </row>
    <row r="4" spans="1:12" ht="16" customHeight="1">
      <c r="A4" s="806"/>
      <c r="B4" s="806"/>
      <c r="C4" s="806"/>
      <c r="D4" s="806"/>
      <c r="E4" s="806"/>
      <c r="F4" s="806"/>
      <c r="G4" s="806"/>
      <c r="H4" s="806"/>
    </row>
    <row r="5" spans="1:12" ht="16" customHeight="1">
      <c r="A5" s="8"/>
      <c r="B5" s="9"/>
      <c r="C5" s="10"/>
      <c r="D5" s="10"/>
      <c r="E5" s="11"/>
      <c r="F5" s="10"/>
      <c r="G5" s="12"/>
      <c r="H5" s="12"/>
    </row>
    <row r="6" spans="1:12" ht="72" customHeight="1">
      <c r="A6" s="13" t="s">
        <v>101</v>
      </c>
      <c r="B6" s="14" t="s">
        <v>217</v>
      </c>
      <c r="C6" s="13" t="s">
        <v>2</v>
      </c>
      <c r="D6" s="13" t="s">
        <v>218</v>
      </c>
      <c r="E6" s="15" t="s">
        <v>219</v>
      </c>
      <c r="F6" s="16" t="s">
        <v>220</v>
      </c>
      <c r="G6" s="16" t="s">
        <v>221</v>
      </c>
      <c r="H6" s="16" t="s">
        <v>222</v>
      </c>
    </row>
    <row r="7" spans="1:12" ht="16" customHeight="1">
      <c r="A7" s="17" t="s">
        <v>28</v>
      </c>
      <c r="B7" s="18" t="s">
        <v>165</v>
      </c>
      <c r="C7" s="19"/>
      <c r="D7" s="19"/>
      <c r="E7" s="20"/>
      <c r="F7" s="19"/>
      <c r="G7" s="21"/>
      <c r="H7" s="21"/>
    </row>
    <row r="8" spans="1:12" ht="16" customHeight="1">
      <c r="A8" s="22" t="s">
        <v>31</v>
      </c>
      <c r="B8" s="23" t="s">
        <v>223</v>
      </c>
      <c r="C8" s="24"/>
      <c r="D8" s="24"/>
      <c r="E8" s="25"/>
      <c r="F8" s="24"/>
      <c r="G8" s="26"/>
      <c r="H8" s="26"/>
    </row>
    <row r="9" spans="1:12" ht="16" customHeight="1">
      <c r="A9" s="27">
        <v>1</v>
      </c>
      <c r="B9" s="28" t="s">
        <v>224</v>
      </c>
      <c r="C9" s="29">
        <v>10</v>
      </c>
      <c r="D9" s="30" t="s">
        <v>55</v>
      </c>
      <c r="E9" s="31">
        <v>6600000</v>
      </c>
      <c r="F9" s="32">
        <f t="shared" ref="F9:F24" si="0">C9*E9</f>
        <v>66000000</v>
      </c>
      <c r="G9" s="33">
        <v>660000</v>
      </c>
      <c r="H9" s="33">
        <f t="shared" ref="H9:H25" si="1">C9*G9</f>
        <v>6600000</v>
      </c>
      <c r="J9" s="34">
        <f>E9+G9</f>
        <v>7260000</v>
      </c>
      <c r="K9" s="34">
        <f>J9*10%</f>
        <v>726000</v>
      </c>
      <c r="L9" s="34">
        <f>J9+K9</f>
        <v>7986000</v>
      </c>
    </row>
    <row r="10" spans="1:12" ht="16" customHeight="1">
      <c r="A10" s="24"/>
      <c r="B10" s="28" t="s">
        <v>225</v>
      </c>
      <c r="C10" s="29">
        <v>10</v>
      </c>
      <c r="D10" s="30" t="s">
        <v>226</v>
      </c>
      <c r="E10" s="31">
        <v>275000</v>
      </c>
      <c r="F10" s="32">
        <f t="shared" si="0"/>
        <v>2750000</v>
      </c>
      <c r="G10" s="33">
        <v>77000</v>
      </c>
      <c r="H10" s="33">
        <f t="shared" si="1"/>
        <v>770000</v>
      </c>
    </row>
    <row r="11" spans="1:12" ht="16" customHeight="1">
      <c r="A11" s="27">
        <v>2</v>
      </c>
      <c r="B11" s="28" t="s">
        <v>227</v>
      </c>
      <c r="C11" s="29">
        <v>32</v>
      </c>
      <c r="D11" s="30" t="s">
        <v>55</v>
      </c>
      <c r="E11" s="31">
        <v>7700000</v>
      </c>
      <c r="F11" s="32">
        <f t="shared" si="0"/>
        <v>246400000</v>
      </c>
      <c r="G11" s="33">
        <v>660000</v>
      </c>
      <c r="H11" s="33">
        <f t="shared" si="1"/>
        <v>21120000</v>
      </c>
    </row>
    <row r="12" spans="1:12" ht="16" customHeight="1">
      <c r="A12" s="24"/>
      <c r="B12" s="28" t="s">
        <v>225</v>
      </c>
      <c r="C12" s="29">
        <v>32</v>
      </c>
      <c r="D12" s="30" t="s">
        <v>226</v>
      </c>
      <c r="E12" s="31">
        <v>275000</v>
      </c>
      <c r="F12" s="32">
        <f t="shared" si="0"/>
        <v>8800000</v>
      </c>
      <c r="G12" s="33">
        <v>77000</v>
      </c>
      <c r="H12" s="33">
        <f t="shared" si="1"/>
        <v>2464000</v>
      </c>
    </row>
    <row r="13" spans="1:12" ht="16" customHeight="1">
      <c r="A13" s="27">
        <v>3</v>
      </c>
      <c r="B13" s="28" t="s">
        <v>228</v>
      </c>
      <c r="C13" s="29">
        <v>6</v>
      </c>
      <c r="D13" s="30" t="s">
        <v>55</v>
      </c>
      <c r="E13" s="31">
        <v>8250000</v>
      </c>
      <c r="F13" s="32">
        <f t="shared" si="0"/>
        <v>49500000</v>
      </c>
      <c r="G13" s="33">
        <v>660000</v>
      </c>
      <c r="H13" s="33">
        <f t="shared" si="1"/>
        <v>3960000</v>
      </c>
    </row>
    <row r="14" spans="1:12" ht="16" customHeight="1">
      <c r="A14" s="24"/>
      <c r="B14" s="28" t="s">
        <v>225</v>
      </c>
      <c r="C14" s="29">
        <v>6</v>
      </c>
      <c r="D14" s="30" t="s">
        <v>226</v>
      </c>
      <c r="E14" s="31">
        <v>275000</v>
      </c>
      <c r="F14" s="32">
        <f t="shared" si="0"/>
        <v>1650000</v>
      </c>
      <c r="G14" s="33">
        <v>77000</v>
      </c>
      <c r="H14" s="33">
        <f t="shared" si="1"/>
        <v>462000</v>
      </c>
    </row>
    <row r="15" spans="1:12" ht="16" customHeight="1">
      <c r="A15" s="27">
        <v>4</v>
      </c>
      <c r="B15" s="28" t="s">
        <v>229</v>
      </c>
      <c r="C15" s="29">
        <v>9</v>
      </c>
      <c r="D15" s="30" t="s">
        <v>55</v>
      </c>
      <c r="E15" s="31">
        <v>9350000</v>
      </c>
      <c r="F15" s="32">
        <f t="shared" si="0"/>
        <v>84150000</v>
      </c>
      <c r="G15" s="33">
        <v>660000</v>
      </c>
      <c r="H15" s="33">
        <f t="shared" si="1"/>
        <v>5940000</v>
      </c>
    </row>
    <row r="16" spans="1:12" ht="16" customHeight="1">
      <c r="A16" s="24"/>
      <c r="B16" s="28" t="s">
        <v>225</v>
      </c>
      <c r="C16" s="29">
        <v>9</v>
      </c>
      <c r="D16" s="30" t="s">
        <v>226</v>
      </c>
      <c r="E16" s="31">
        <v>275000</v>
      </c>
      <c r="F16" s="32">
        <f t="shared" si="0"/>
        <v>2475000</v>
      </c>
      <c r="G16" s="33">
        <v>77000</v>
      </c>
      <c r="H16" s="33">
        <f t="shared" si="1"/>
        <v>693000</v>
      </c>
    </row>
    <row r="17" spans="1:12" ht="16" customHeight="1">
      <c r="A17" s="27">
        <v>5</v>
      </c>
      <c r="B17" s="28" t="s">
        <v>230</v>
      </c>
      <c r="C17" s="29">
        <v>1</v>
      </c>
      <c r="D17" s="30" t="s">
        <v>55</v>
      </c>
      <c r="E17" s="31">
        <v>12100000</v>
      </c>
      <c r="F17" s="32">
        <f t="shared" si="0"/>
        <v>12100000</v>
      </c>
      <c r="G17" s="33">
        <v>660000</v>
      </c>
      <c r="H17" s="33">
        <f t="shared" si="1"/>
        <v>660000</v>
      </c>
    </row>
    <row r="18" spans="1:12" ht="16" customHeight="1">
      <c r="A18" s="24"/>
      <c r="B18" s="28" t="s">
        <v>225</v>
      </c>
      <c r="C18" s="29">
        <v>1</v>
      </c>
      <c r="D18" s="30" t="s">
        <v>226</v>
      </c>
      <c r="E18" s="31">
        <v>275000</v>
      </c>
      <c r="F18" s="32">
        <f t="shared" si="0"/>
        <v>275000</v>
      </c>
      <c r="G18" s="33">
        <v>77000</v>
      </c>
      <c r="H18" s="33">
        <f t="shared" si="1"/>
        <v>77000</v>
      </c>
    </row>
    <row r="19" spans="1:12" ht="16" customHeight="1">
      <c r="A19" s="27">
        <v>6</v>
      </c>
      <c r="B19" s="28" t="s">
        <v>166</v>
      </c>
      <c r="C19" s="29">
        <v>5</v>
      </c>
      <c r="D19" s="30" t="s">
        <v>55</v>
      </c>
      <c r="E19" s="31">
        <v>24200000</v>
      </c>
      <c r="F19" s="32">
        <f t="shared" si="0"/>
        <v>121000000</v>
      </c>
      <c r="G19" s="33">
        <v>1650000</v>
      </c>
      <c r="H19" s="33">
        <f t="shared" si="1"/>
        <v>8250000</v>
      </c>
      <c r="J19" s="34">
        <f>E19+G19</f>
        <v>25850000</v>
      </c>
      <c r="K19" s="34">
        <f>J19*10%</f>
        <v>2585000</v>
      </c>
      <c r="L19" s="34">
        <f>J19+K19</f>
        <v>28435000</v>
      </c>
    </row>
    <row r="20" spans="1:12" ht="16" customHeight="1">
      <c r="A20" s="24"/>
      <c r="B20" s="28" t="s">
        <v>231</v>
      </c>
      <c r="C20" s="29">
        <v>5</v>
      </c>
      <c r="D20" s="30" t="s">
        <v>226</v>
      </c>
      <c r="E20" s="31">
        <v>440000</v>
      </c>
      <c r="F20" s="32">
        <f t="shared" si="0"/>
        <v>2200000</v>
      </c>
      <c r="G20" s="33">
        <v>110000</v>
      </c>
      <c r="H20" s="33">
        <f t="shared" si="1"/>
        <v>550000</v>
      </c>
    </row>
    <row r="21" spans="1:12" ht="16" customHeight="1">
      <c r="A21" s="27">
        <v>7</v>
      </c>
      <c r="B21" s="28" t="s">
        <v>167</v>
      </c>
      <c r="C21" s="24"/>
      <c r="D21" s="24"/>
      <c r="E21" s="25"/>
      <c r="F21" s="32">
        <f t="shared" si="0"/>
        <v>0</v>
      </c>
      <c r="G21" s="33"/>
      <c r="H21" s="33">
        <f t="shared" si="1"/>
        <v>0</v>
      </c>
    </row>
    <row r="22" spans="1:12" ht="16" customHeight="1">
      <c r="A22" s="24"/>
      <c r="B22" s="28" t="s">
        <v>232</v>
      </c>
      <c r="C22" s="29">
        <v>1</v>
      </c>
      <c r="D22" s="30" t="s">
        <v>55</v>
      </c>
      <c r="E22" s="31">
        <v>110000000</v>
      </c>
      <c r="F22" s="32">
        <f t="shared" si="0"/>
        <v>110000000</v>
      </c>
      <c r="G22" s="33">
        <v>4400000</v>
      </c>
      <c r="H22" s="33">
        <f t="shared" si="1"/>
        <v>4400000</v>
      </c>
    </row>
    <row r="23" spans="1:12" ht="16" customHeight="1">
      <c r="A23" s="24"/>
      <c r="B23" s="28" t="s">
        <v>233</v>
      </c>
      <c r="C23" s="29">
        <v>2</v>
      </c>
      <c r="D23" s="30" t="s">
        <v>55</v>
      </c>
      <c r="E23" s="31">
        <v>150000000</v>
      </c>
      <c r="F23" s="32">
        <f t="shared" si="0"/>
        <v>300000000</v>
      </c>
      <c r="G23" s="33">
        <v>4400000</v>
      </c>
      <c r="H23" s="33">
        <f t="shared" si="1"/>
        <v>8800000</v>
      </c>
      <c r="J23" s="34">
        <f>E23+G23</f>
        <v>154400000</v>
      </c>
      <c r="K23" s="34">
        <f>J23*10%</f>
        <v>15440000</v>
      </c>
      <c r="L23" s="34">
        <f>J23+K23</f>
        <v>169840000</v>
      </c>
    </row>
    <row r="24" spans="1:12" ht="16" customHeight="1">
      <c r="A24" s="24"/>
      <c r="B24" s="28" t="s">
        <v>234</v>
      </c>
      <c r="C24" s="29">
        <v>3</v>
      </c>
      <c r="D24" s="30" t="s">
        <v>226</v>
      </c>
      <c r="E24" s="31">
        <v>650000</v>
      </c>
      <c r="F24" s="35">
        <f t="shared" si="0"/>
        <v>1950000</v>
      </c>
      <c r="G24" s="33">
        <v>200000</v>
      </c>
      <c r="H24" s="33">
        <f t="shared" si="1"/>
        <v>600000</v>
      </c>
      <c r="K24" s="34">
        <f t="shared" ref="K24:K87" si="2">J24*10%</f>
        <v>0</v>
      </c>
      <c r="L24" s="34">
        <f t="shared" ref="L24:L87" si="3">J24+K24</f>
        <v>0</v>
      </c>
    </row>
    <row r="25" spans="1:12" ht="16" customHeight="1" thickBot="1">
      <c r="A25" s="27">
        <v>8</v>
      </c>
      <c r="B25" s="28" t="s">
        <v>169</v>
      </c>
      <c r="C25" s="29">
        <v>1</v>
      </c>
      <c r="D25" s="30" t="s">
        <v>164</v>
      </c>
      <c r="E25" s="31">
        <v>44262500</v>
      </c>
      <c r="F25" s="32">
        <f>E25</f>
        <v>44262500</v>
      </c>
      <c r="G25" s="33"/>
      <c r="H25" s="33">
        <f t="shared" si="1"/>
        <v>0</v>
      </c>
      <c r="K25" s="34">
        <f t="shared" si="2"/>
        <v>0</v>
      </c>
      <c r="L25" s="34">
        <f t="shared" si="3"/>
        <v>0</v>
      </c>
    </row>
    <row r="26" spans="1:12" ht="16" customHeight="1" thickBot="1">
      <c r="A26" s="36"/>
      <c r="B26" s="37"/>
      <c r="C26" s="38"/>
      <c r="D26" s="38"/>
      <c r="E26" s="39" t="s">
        <v>235</v>
      </c>
      <c r="F26" s="40">
        <f>SUM(F9:F25)</f>
        <v>1053512500</v>
      </c>
      <c r="G26" s="38" t="s">
        <v>236</v>
      </c>
      <c r="H26" s="41">
        <f>SUM(H9:H25)</f>
        <v>65346000</v>
      </c>
      <c r="K26" s="34">
        <f t="shared" si="2"/>
        <v>0</v>
      </c>
      <c r="L26" s="34">
        <f t="shared" si="3"/>
        <v>0</v>
      </c>
    </row>
    <row r="27" spans="1:12" ht="16" customHeight="1">
      <c r="A27" s="22" t="s">
        <v>237</v>
      </c>
      <c r="B27" s="23" t="s">
        <v>238</v>
      </c>
      <c r="C27" s="24"/>
      <c r="D27" s="24"/>
      <c r="E27" s="25"/>
      <c r="F27" s="24"/>
      <c r="G27" s="26"/>
      <c r="H27" s="26"/>
      <c r="K27" s="34">
        <f t="shared" si="2"/>
        <v>0</v>
      </c>
      <c r="L27" s="34">
        <f t="shared" si="3"/>
        <v>0</v>
      </c>
    </row>
    <row r="28" spans="1:12" ht="16" customHeight="1">
      <c r="A28" s="27">
        <v>1</v>
      </c>
      <c r="B28" s="28" t="s">
        <v>239</v>
      </c>
      <c r="C28" s="29">
        <v>2</v>
      </c>
      <c r="D28" s="30" t="s">
        <v>55</v>
      </c>
      <c r="E28" s="31">
        <v>132000000</v>
      </c>
      <c r="F28" s="42">
        <f>C28*E28</f>
        <v>264000000</v>
      </c>
      <c r="G28" s="33">
        <v>11000000</v>
      </c>
      <c r="H28" s="33">
        <f t="shared" ref="H28:H42" si="4">C28*G28</f>
        <v>22000000</v>
      </c>
      <c r="J28" s="34">
        <f>E28+G28</f>
        <v>143000000</v>
      </c>
      <c r="K28" s="34">
        <f t="shared" si="2"/>
        <v>14300000</v>
      </c>
      <c r="L28" s="34">
        <f t="shared" si="3"/>
        <v>157300000</v>
      </c>
    </row>
    <row r="29" spans="1:12" ht="16" customHeight="1">
      <c r="A29" s="24"/>
      <c r="B29" s="28" t="s">
        <v>172</v>
      </c>
      <c r="C29" s="24"/>
      <c r="D29" s="24"/>
      <c r="E29" s="31"/>
      <c r="F29" s="42"/>
      <c r="G29" s="33"/>
      <c r="H29" s="33">
        <f t="shared" si="4"/>
        <v>0</v>
      </c>
      <c r="J29" s="34">
        <f t="shared" ref="J29:J91" si="5">E29+G29</f>
        <v>0</v>
      </c>
      <c r="K29" s="34">
        <f t="shared" si="2"/>
        <v>0</v>
      </c>
      <c r="L29" s="34">
        <f t="shared" si="3"/>
        <v>0</v>
      </c>
    </row>
    <row r="30" spans="1:12" ht="16" customHeight="1">
      <c r="A30" s="43"/>
      <c r="B30" s="44" t="s">
        <v>173</v>
      </c>
      <c r="C30" s="27">
        <v>40</v>
      </c>
      <c r="D30" s="45" t="s">
        <v>174</v>
      </c>
      <c r="E30" s="31">
        <v>165000</v>
      </c>
      <c r="F30" s="42">
        <f>C30*E30</f>
        <v>6600000</v>
      </c>
      <c r="G30" s="33">
        <v>27500</v>
      </c>
      <c r="H30" s="33">
        <f t="shared" si="4"/>
        <v>1100000</v>
      </c>
      <c r="J30" s="34">
        <f>E30+G30</f>
        <v>192500</v>
      </c>
      <c r="K30" s="34">
        <f t="shared" si="2"/>
        <v>19250</v>
      </c>
      <c r="L30" s="34">
        <f t="shared" si="3"/>
        <v>211750</v>
      </c>
    </row>
    <row r="31" spans="1:12" ht="16" customHeight="1">
      <c r="A31" s="43"/>
      <c r="B31" s="44" t="s">
        <v>175</v>
      </c>
      <c r="C31" s="27">
        <v>40</v>
      </c>
      <c r="D31" s="45" t="s">
        <v>174</v>
      </c>
      <c r="E31" s="31">
        <v>209000</v>
      </c>
      <c r="F31" s="42">
        <f>C31*E31</f>
        <v>8360000</v>
      </c>
      <c r="G31" s="33">
        <v>27500</v>
      </c>
      <c r="H31" s="33">
        <f t="shared" si="4"/>
        <v>1100000</v>
      </c>
      <c r="J31" s="34">
        <f t="shared" si="5"/>
        <v>236500</v>
      </c>
      <c r="K31" s="34">
        <f t="shared" si="2"/>
        <v>23650</v>
      </c>
      <c r="L31" s="34">
        <f t="shared" si="3"/>
        <v>260150</v>
      </c>
    </row>
    <row r="32" spans="1:12" ht="16" customHeight="1">
      <c r="A32" s="43"/>
      <c r="B32" s="44" t="s">
        <v>240</v>
      </c>
      <c r="C32" s="27">
        <v>2</v>
      </c>
      <c r="D32" s="45" t="s">
        <v>226</v>
      </c>
      <c r="E32" s="31">
        <v>250000</v>
      </c>
      <c r="F32" s="42">
        <f>C32*E32</f>
        <v>500000</v>
      </c>
      <c r="G32" s="33">
        <v>110000</v>
      </c>
      <c r="H32" s="33">
        <f t="shared" si="4"/>
        <v>220000</v>
      </c>
      <c r="J32" s="34">
        <f>E32+G32</f>
        <v>360000</v>
      </c>
      <c r="K32" s="34">
        <f t="shared" si="2"/>
        <v>36000</v>
      </c>
      <c r="L32" s="34">
        <f t="shared" si="3"/>
        <v>396000</v>
      </c>
    </row>
    <row r="33" spans="1:12" ht="16" customHeight="1">
      <c r="A33" s="27">
        <v>2</v>
      </c>
      <c r="B33" s="44" t="s">
        <v>176</v>
      </c>
      <c r="C33" s="43"/>
      <c r="D33" s="43"/>
      <c r="E33" s="46"/>
      <c r="F33" s="42"/>
      <c r="G33" s="33"/>
      <c r="H33" s="33">
        <f t="shared" si="4"/>
        <v>0</v>
      </c>
      <c r="J33" s="34">
        <f t="shared" si="5"/>
        <v>0</v>
      </c>
      <c r="K33" s="34">
        <f t="shared" si="2"/>
        <v>0</v>
      </c>
      <c r="L33" s="34">
        <f t="shared" si="3"/>
        <v>0</v>
      </c>
    </row>
    <row r="34" spans="1:12" ht="16" customHeight="1">
      <c r="A34" s="43"/>
      <c r="B34" s="44" t="s">
        <v>177</v>
      </c>
      <c r="C34" s="29">
        <v>57</v>
      </c>
      <c r="D34" s="45" t="s">
        <v>174</v>
      </c>
      <c r="E34" s="31">
        <v>181500</v>
      </c>
      <c r="F34" s="42">
        <f>C34*E34</f>
        <v>10345500</v>
      </c>
      <c r="G34" s="33">
        <v>49500</v>
      </c>
      <c r="H34" s="33">
        <f t="shared" si="4"/>
        <v>2821500</v>
      </c>
      <c r="J34" s="34">
        <f>E34+G34</f>
        <v>231000</v>
      </c>
      <c r="K34" s="34">
        <f t="shared" si="2"/>
        <v>23100</v>
      </c>
      <c r="L34" s="34">
        <f>J34+K34</f>
        <v>254100</v>
      </c>
    </row>
    <row r="35" spans="1:12" ht="16" customHeight="1">
      <c r="A35" s="43"/>
      <c r="B35" s="44" t="s">
        <v>178</v>
      </c>
      <c r="C35" s="29">
        <v>8</v>
      </c>
      <c r="D35" s="45" t="s">
        <v>174</v>
      </c>
      <c r="E35" s="31">
        <v>181500</v>
      </c>
      <c r="F35" s="42">
        <f>C35*E35</f>
        <v>1452000</v>
      </c>
      <c r="G35" s="33">
        <v>49500</v>
      </c>
      <c r="H35" s="33">
        <f t="shared" si="4"/>
        <v>396000</v>
      </c>
      <c r="J35" s="34">
        <f t="shared" si="5"/>
        <v>231000</v>
      </c>
      <c r="K35" s="34">
        <f t="shared" si="2"/>
        <v>23100</v>
      </c>
      <c r="L35" s="34">
        <f t="shared" si="3"/>
        <v>254100</v>
      </c>
    </row>
    <row r="36" spans="1:12" ht="16" customHeight="1">
      <c r="A36" s="43"/>
      <c r="B36" s="44" t="s">
        <v>179</v>
      </c>
      <c r="C36" s="29">
        <v>36</v>
      </c>
      <c r="D36" s="45" t="s">
        <v>174</v>
      </c>
      <c r="E36" s="31">
        <v>181500</v>
      </c>
      <c r="F36" s="42">
        <f>C36*E36</f>
        <v>6534000</v>
      </c>
      <c r="G36" s="33">
        <v>49500</v>
      </c>
      <c r="H36" s="33">
        <f t="shared" si="4"/>
        <v>1782000</v>
      </c>
      <c r="J36" s="34">
        <f t="shared" si="5"/>
        <v>231000</v>
      </c>
      <c r="K36" s="34">
        <f t="shared" si="2"/>
        <v>23100</v>
      </c>
      <c r="L36" s="34">
        <f t="shared" si="3"/>
        <v>254100</v>
      </c>
    </row>
    <row r="37" spans="1:12" ht="16" customHeight="1">
      <c r="A37" s="27">
        <v>3</v>
      </c>
      <c r="B37" s="44" t="s">
        <v>180</v>
      </c>
      <c r="C37" s="43"/>
      <c r="D37" s="43"/>
      <c r="E37" s="31"/>
      <c r="F37" s="42"/>
      <c r="G37" s="33"/>
      <c r="H37" s="33">
        <f t="shared" si="4"/>
        <v>0</v>
      </c>
      <c r="J37" s="34">
        <f t="shared" si="5"/>
        <v>0</v>
      </c>
      <c r="K37" s="34">
        <f t="shared" si="2"/>
        <v>0</v>
      </c>
      <c r="L37" s="34">
        <f t="shared" si="3"/>
        <v>0</v>
      </c>
    </row>
    <row r="38" spans="1:12" ht="16" customHeight="1">
      <c r="A38" s="43"/>
      <c r="B38" s="44" t="s">
        <v>181</v>
      </c>
      <c r="C38" s="29">
        <v>48</v>
      </c>
      <c r="D38" s="45" t="s">
        <v>174</v>
      </c>
      <c r="E38" s="31">
        <v>181500</v>
      </c>
      <c r="F38" s="42">
        <f>C38*E38</f>
        <v>8712000</v>
      </c>
      <c r="G38" s="33">
        <v>49500</v>
      </c>
      <c r="H38" s="33">
        <f t="shared" si="4"/>
        <v>2376000</v>
      </c>
      <c r="J38" s="34">
        <f t="shared" si="5"/>
        <v>231000</v>
      </c>
      <c r="K38" s="34">
        <f t="shared" si="2"/>
        <v>23100</v>
      </c>
      <c r="L38" s="34">
        <f t="shared" si="3"/>
        <v>254100</v>
      </c>
    </row>
    <row r="39" spans="1:12" ht="16" customHeight="1">
      <c r="A39" s="43"/>
      <c r="B39" s="44" t="s">
        <v>182</v>
      </c>
      <c r="C39" s="29">
        <v>12</v>
      </c>
      <c r="D39" s="45" t="s">
        <v>174</v>
      </c>
      <c r="E39" s="31">
        <v>181500</v>
      </c>
      <c r="F39" s="42">
        <f>C39*E39</f>
        <v>2178000</v>
      </c>
      <c r="G39" s="33">
        <v>49500</v>
      </c>
      <c r="H39" s="33">
        <f t="shared" si="4"/>
        <v>594000</v>
      </c>
      <c r="J39" s="34">
        <f t="shared" si="5"/>
        <v>231000</v>
      </c>
      <c r="K39" s="34">
        <f t="shared" si="2"/>
        <v>23100</v>
      </c>
      <c r="L39" s="34">
        <f t="shared" si="3"/>
        <v>254100</v>
      </c>
    </row>
    <row r="40" spans="1:12" ht="16" customHeight="1">
      <c r="A40" s="43"/>
      <c r="B40" s="44" t="s">
        <v>183</v>
      </c>
      <c r="C40" s="29">
        <v>22</v>
      </c>
      <c r="D40" s="45" t="s">
        <v>174</v>
      </c>
      <c r="E40" s="31">
        <v>181500</v>
      </c>
      <c r="F40" s="42">
        <f>C40*E40</f>
        <v>3993000</v>
      </c>
      <c r="G40" s="33">
        <v>49500</v>
      </c>
      <c r="H40" s="33">
        <f t="shared" si="4"/>
        <v>1089000</v>
      </c>
      <c r="J40" s="34">
        <f t="shared" si="5"/>
        <v>231000</v>
      </c>
      <c r="K40" s="34">
        <f t="shared" si="2"/>
        <v>23100</v>
      </c>
      <c r="L40" s="34">
        <f t="shared" si="3"/>
        <v>254100</v>
      </c>
    </row>
    <row r="41" spans="1:12" ht="16" customHeight="1">
      <c r="A41" s="27">
        <v>4</v>
      </c>
      <c r="B41" s="44" t="s">
        <v>184</v>
      </c>
      <c r="C41" s="43"/>
      <c r="D41" s="43"/>
      <c r="E41" s="31"/>
      <c r="F41" s="42"/>
      <c r="G41" s="33"/>
      <c r="H41" s="33">
        <f t="shared" si="4"/>
        <v>0</v>
      </c>
      <c r="J41" s="34">
        <f t="shared" si="5"/>
        <v>0</v>
      </c>
      <c r="K41" s="34">
        <f t="shared" si="2"/>
        <v>0</v>
      </c>
      <c r="L41" s="34">
        <f t="shared" si="3"/>
        <v>0</v>
      </c>
    </row>
    <row r="42" spans="1:12" ht="16" customHeight="1">
      <c r="A42" s="43"/>
      <c r="B42" s="44" t="s">
        <v>185</v>
      </c>
      <c r="C42" s="29">
        <v>27</v>
      </c>
      <c r="D42" s="45" t="s">
        <v>174</v>
      </c>
      <c r="E42" s="31">
        <v>181500</v>
      </c>
      <c r="F42" s="42">
        <f>C42*E42</f>
        <v>4900500</v>
      </c>
      <c r="G42" s="33">
        <v>49500</v>
      </c>
      <c r="H42" s="33">
        <f t="shared" si="4"/>
        <v>1336500</v>
      </c>
      <c r="J42" s="34">
        <f t="shared" si="5"/>
        <v>231000</v>
      </c>
      <c r="K42" s="34">
        <f t="shared" si="2"/>
        <v>23100</v>
      </c>
      <c r="L42" s="34">
        <f t="shared" si="3"/>
        <v>254100</v>
      </c>
    </row>
    <row r="43" spans="1:12" ht="16" customHeight="1">
      <c r="A43" s="27">
        <v>5</v>
      </c>
      <c r="B43" s="44" t="s">
        <v>186</v>
      </c>
      <c r="C43" s="43"/>
      <c r="D43" s="43"/>
      <c r="E43" s="31"/>
      <c r="F43" s="42"/>
      <c r="G43" s="33"/>
      <c r="H43" s="33"/>
      <c r="J43" s="34">
        <f t="shared" si="5"/>
        <v>0</v>
      </c>
      <c r="K43" s="34">
        <f t="shared" si="2"/>
        <v>0</v>
      </c>
      <c r="L43" s="34">
        <f t="shared" si="3"/>
        <v>0</v>
      </c>
    </row>
    <row r="44" spans="1:12" ht="16" customHeight="1">
      <c r="A44" s="43"/>
      <c r="B44" s="44" t="s">
        <v>187</v>
      </c>
      <c r="C44" s="29">
        <v>8</v>
      </c>
      <c r="D44" s="45" t="s">
        <v>13</v>
      </c>
      <c r="E44" s="31">
        <v>880000</v>
      </c>
      <c r="F44" s="47">
        <f>C44*E44</f>
        <v>7040000</v>
      </c>
      <c r="G44" s="33">
        <v>275000</v>
      </c>
      <c r="H44" s="33">
        <f>C44*G44</f>
        <v>2200000</v>
      </c>
      <c r="J44" s="34">
        <f t="shared" si="5"/>
        <v>1155000</v>
      </c>
      <c r="K44" s="34">
        <f t="shared" si="2"/>
        <v>115500</v>
      </c>
      <c r="L44" s="34">
        <f t="shared" si="3"/>
        <v>1270500</v>
      </c>
    </row>
    <row r="45" spans="1:12" ht="16" customHeight="1">
      <c r="A45" s="43"/>
      <c r="B45" s="44" t="s">
        <v>188</v>
      </c>
      <c r="C45" s="29">
        <v>8</v>
      </c>
      <c r="D45" s="45" t="s">
        <v>13</v>
      </c>
      <c r="E45" s="31">
        <v>440000</v>
      </c>
      <c r="F45" s="48">
        <f>C45*E45</f>
        <v>3520000</v>
      </c>
      <c r="G45" s="33">
        <v>220000</v>
      </c>
      <c r="H45" s="33">
        <f>C45*G45</f>
        <v>1760000</v>
      </c>
      <c r="J45" s="34">
        <f t="shared" si="5"/>
        <v>660000</v>
      </c>
      <c r="K45" s="34">
        <f t="shared" si="2"/>
        <v>66000</v>
      </c>
      <c r="L45" s="34">
        <f t="shared" si="3"/>
        <v>726000</v>
      </c>
    </row>
    <row r="46" spans="1:12" ht="16" customHeight="1" thickBot="1">
      <c r="A46" s="27">
        <v>6</v>
      </c>
      <c r="B46" s="44" t="s">
        <v>169</v>
      </c>
      <c r="C46" s="29">
        <v>1</v>
      </c>
      <c r="D46" s="45" t="s">
        <v>164</v>
      </c>
      <c r="E46" s="49">
        <v>9844050</v>
      </c>
      <c r="F46" s="48">
        <f>C46*E46</f>
        <v>9844050</v>
      </c>
      <c r="G46" s="33"/>
      <c r="H46" s="33"/>
      <c r="J46" s="34">
        <f t="shared" si="5"/>
        <v>9844050</v>
      </c>
      <c r="K46" s="34">
        <f t="shared" si="2"/>
        <v>984405</v>
      </c>
      <c r="L46" s="34">
        <f t="shared" si="3"/>
        <v>10828455</v>
      </c>
    </row>
    <row r="47" spans="1:12" ht="16" customHeight="1" thickBot="1">
      <c r="A47" s="36"/>
      <c r="B47" s="37"/>
      <c r="C47" s="38"/>
      <c r="D47" s="38"/>
      <c r="E47" s="39" t="s">
        <v>241</v>
      </c>
      <c r="F47" s="40">
        <f>SUM(F28:F46)</f>
        <v>337979050</v>
      </c>
      <c r="G47" s="38" t="s">
        <v>242</v>
      </c>
      <c r="H47" s="41">
        <f>SUM(H28:H46)</f>
        <v>38775000</v>
      </c>
      <c r="J47" s="34"/>
      <c r="K47" s="34"/>
      <c r="L47" s="34"/>
    </row>
    <row r="48" spans="1:12" ht="16" customHeight="1">
      <c r="A48" s="50" t="s">
        <v>243</v>
      </c>
      <c r="B48" s="51" t="s">
        <v>189</v>
      </c>
      <c r="C48" s="52"/>
      <c r="D48" s="52"/>
      <c r="E48" s="53"/>
      <c r="F48" s="52"/>
      <c r="G48" s="54"/>
      <c r="H48" s="55"/>
      <c r="J48" s="34">
        <f t="shared" si="5"/>
        <v>0</v>
      </c>
      <c r="K48" s="34">
        <f t="shared" si="2"/>
        <v>0</v>
      </c>
      <c r="L48" s="34">
        <f t="shared" si="3"/>
        <v>0</v>
      </c>
    </row>
    <row r="49" spans="1:12" ht="16" customHeight="1">
      <c r="A49" s="27">
        <v>1</v>
      </c>
      <c r="B49" s="44" t="s">
        <v>190</v>
      </c>
      <c r="C49" s="29">
        <v>3</v>
      </c>
      <c r="D49" s="45" t="s">
        <v>55</v>
      </c>
      <c r="E49" s="56">
        <v>16500000</v>
      </c>
      <c r="F49" s="48">
        <f>C49*E49</f>
        <v>49500000</v>
      </c>
      <c r="G49" s="33">
        <v>1650000</v>
      </c>
      <c r="H49" s="33">
        <f t="shared" ref="H49:H64" si="6">C49*G49</f>
        <v>4950000</v>
      </c>
      <c r="J49" s="34">
        <f t="shared" si="5"/>
        <v>18150000</v>
      </c>
      <c r="K49" s="34">
        <f t="shared" si="2"/>
        <v>1815000</v>
      </c>
      <c r="L49" s="34">
        <f t="shared" si="3"/>
        <v>19965000</v>
      </c>
    </row>
    <row r="50" spans="1:12" ht="16" customHeight="1">
      <c r="A50" s="43"/>
      <c r="B50" s="44" t="s">
        <v>225</v>
      </c>
      <c r="C50" s="29">
        <v>3</v>
      </c>
      <c r="D50" s="45" t="s">
        <v>226</v>
      </c>
      <c r="E50" s="56">
        <v>250000</v>
      </c>
      <c r="F50" s="47">
        <f>C50*E50</f>
        <v>750000</v>
      </c>
      <c r="G50" s="33">
        <v>110000</v>
      </c>
      <c r="H50" s="33">
        <f t="shared" si="6"/>
        <v>330000</v>
      </c>
      <c r="J50" s="34">
        <f t="shared" si="5"/>
        <v>360000</v>
      </c>
      <c r="K50" s="34">
        <f t="shared" si="2"/>
        <v>36000</v>
      </c>
      <c r="L50" s="34">
        <f t="shared" si="3"/>
        <v>396000</v>
      </c>
    </row>
    <row r="51" spans="1:12" ht="16" customHeight="1">
      <c r="A51" s="27">
        <v>2</v>
      </c>
      <c r="B51" s="44" t="s">
        <v>244</v>
      </c>
      <c r="C51" s="29">
        <v>3</v>
      </c>
      <c r="D51" s="45" t="s">
        <v>55</v>
      </c>
      <c r="E51" s="57"/>
      <c r="F51" s="45"/>
      <c r="G51" s="33"/>
      <c r="H51" s="33">
        <f t="shared" si="6"/>
        <v>0</v>
      </c>
      <c r="J51" s="34">
        <f t="shared" si="5"/>
        <v>0</v>
      </c>
      <c r="K51" s="34">
        <f t="shared" si="2"/>
        <v>0</v>
      </c>
      <c r="L51" s="34">
        <f t="shared" si="3"/>
        <v>0</v>
      </c>
    </row>
    <row r="52" spans="1:12" ht="16" customHeight="1">
      <c r="A52" s="43"/>
      <c r="B52" s="44" t="s">
        <v>225</v>
      </c>
      <c r="C52" s="29">
        <v>3</v>
      </c>
      <c r="D52" s="45" t="s">
        <v>226</v>
      </c>
      <c r="E52" s="56">
        <v>250000</v>
      </c>
      <c r="F52" s="47">
        <f>E52*C52</f>
        <v>750000</v>
      </c>
      <c r="G52" s="33">
        <v>110000</v>
      </c>
      <c r="H52" s="33">
        <f t="shared" si="6"/>
        <v>330000</v>
      </c>
      <c r="J52" s="34">
        <f t="shared" si="5"/>
        <v>360000</v>
      </c>
      <c r="K52" s="34">
        <f t="shared" si="2"/>
        <v>36000</v>
      </c>
      <c r="L52" s="34">
        <f t="shared" si="3"/>
        <v>396000</v>
      </c>
    </row>
    <row r="53" spans="1:12" ht="16" customHeight="1">
      <c r="A53" s="27">
        <v>3</v>
      </c>
      <c r="B53" s="44" t="s">
        <v>184</v>
      </c>
      <c r="C53" s="58"/>
      <c r="D53" s="43"/>
      <c r="E53" s="46"/>
      <c r="F53" s="47"/>
      <c r="G53" s="33"/>
      <c r="H53" s="33">
        <f t="shared" si="6"/>
        <v>0</v>
      </c>
      <c r="J53" s="34">
        <f t="shared" si="5"/>
        <v>0</v>
      </c>
      <c r="K53" s="34">
        <f t="shared" si="2"/>
        <v>0</v>
      </c>
      <c r="L53" s="34">
        <f t="shared" si="3"/>
        <v>0</v>
      </c>
    </row>
    <row r="54" spans="1:12" ht="16" customHeight="1">
      <c r="A54" s="43"/>
      <c r="B54" s="44" t="s">
        <v>191</v>
      </c>
      <c r="C54" s="29">
        <v>58.7</v>
      </c>
      <c r="D54" s="45" t="s">
        <v>174</v>
      </c>
      <c r="E54" s="56">
        <v>181500</v>
      </c>
      <c r="F54" s="47">
        <f>C54*E54</f>
        <v>10654050</v>
      </c>
      <c r="G54" s="33">
        <v>49500</v>
      </c>
      <c r="H54" s="33">
        <f t="shared" si="6"/>
        <v>2905650</v>
      </c>
      <c r="J54" s="34">
        <f t="shared" si="5"/>
        <v>231000</v>
      </c>
      <c r="K54" s="34">
        <f t="shared" si="2"/>
        <v>23100</v>
      </c>
      <c r="L54" s="34">
        <f t="shared" si="3"/>
        <v>254100</v>
      </c>
    </row>
    <row r="55" spans="1:12" ht="16" customHeight="1">
      <c r="A55" s="43"/>
      <c r="B55" s="44" t="s">
        <v>192</v>
      </c>
      <c r="C55" s="29">
        <v>22</v>
      </c>
      <c r="D55" s="45" t="s">
        <v>174</v>
      </c>
      <c r="E55" s="56">
        <v>181500</v>
      </c>
      <c r="F55" s="47">
        <f>C55*E55</f>
        <v>3993000</v>
      </c>
      <c r="G55" s="33">
        <v>49500</v>
      </c>
      <c r="H55" s="33">
        <f t="shared" si="6"/>
        <v>1089000</v>
      </c>
      <c r="J55" s="34">
        <f t="shared" si="5"/>
        <v>231000</v>
      </c>
      <c r="K55" s="34">
        <f t="shared" si="2"/>
        <v>23100</v>
      </c>
      <c r="L55" s="34">
        <f t="shared" si="3"/>
        <v>254100</v>
      </c>
    </row>
    <row r="56" spans="1:12" ht="16" customHeight="1">
      <c r="A56" s="43"/>
      <c r="B56" s="44" t="s">
        <v>193</v>
      </c>
      <c r="C56" s="29">
        <v>25.4</v>
      </c>
      <c r="D56" s="45" t="s">
        <v>174</v>
      </c>
      <c r="E56" s="56">
        <v>181500</v>
      </c>
      <c r="F56" s="47">
        <f>C56*E56</f>
        <v>4610100</v>
      </c>
      <c r="G56" s="33">
        <v>49500</v>
      </c>
      <c r="H56" s="33">
        <f t="shared" si="6"/>
        <v>1257300</v>
      </c>
      <c r="J56" s="34">
        <f t="shared" si="5"/>
        <v>231000</v>
      </c>
      <c r="K56" s="34">
        <f t="shared" si="2"/>
        <v>23100</v>
      </c>
      <c r="L56" s="34">
        <f t="shared" si="3"/>
        <v>254100</v>
      </c>
    </row>
    <row r="57" spans="1:12" ht="16" customHeight="1">
      <c r="A57" s="43"/>
      <c r="B57" s="44" t="s">
        <v>194</v>
      </c>
      <c r="C57" s="29">
        <v>29</v>
      </c>
      <c r="D57" s="45" t="s">
        <v>174</v>
      </c>
      <c r="E57" s="56">
        <v>181500</v>
      </c>
      <c r="F57" s="47">
        <f>C57*E57</f>
        <v>5263500</v>
      </c>
      <c r="G57" s="33">
        <v>49500</v>
      </c>
      <c r="H57" s="33">
        <f t="shared" si="6"/>
        <v>1435500</v>
      </c>
      <c r="J57" s="34">
        <f t="shared" si="5"/>
        <v>231000</v>
      </c>
      <c r="K57" s="34">
        <f t="shared" si="2"/>
        <v>23100</v>
      </c>
      <c r="L57" s="34">
        <f t="shared" si="3"/>
        <v>254100</v>
      </c>
    </row>
    <row r="58" spans="1:12" ht="16" customHeight="1">
      <c r="A58" s="43"/>
      <c r="B58" s="44" t="s">
        <v>195</v>
      </c>
      <c r="C58" s="29">
        <v>27</v>
      </c>
      <c r="D58" s="45" t="s">
        <v>174</v>
      </c>
      <c r="E58" s="56">
        <v>181500</v>
      </c>
      <c r="F58" s="47">
        <f>C58*E58</f>
        <v>4900500</v>
      </c>
      <c r="G58" s="33">
        <v>49500</v>
      </c>
      <c r="H58" s="33">
        <f t="shared" si="6"/>
        <v>1336500</v>
      </c>
      <c r="J58" s="34">
        <f t="shared" si="5"/>
        <v>231000</v>
      </c>
      <c r="K58" s="34">
        <f t="shared" si="2"/>
        <v>23100</v>
      </c>
      <c r="L58" s="34">
        <f t="shared" si="3"/>
        <v>254100</v>
      </c>
    </row>
    <row r="59" spans="1:12" ht="16" customHeight="1">
      <c r="A59" s="27">
        <v>4</v>
      </c>
      <c r="B59" s="44" t="s">
        <v>186</v>
      </c>
      <c r="C59" s="58"/>
      <c r="D59" s="43"/>
      <c r="E59" s="46"/>
      <c r="F59" s="47"/>
      <c r="G59" s="33"/>
      <c r="H59" s="33">
        <f t="shared" si="6"/>
        <v>0</v>
      </c>
      <c r="J59" s="34">
        <f t="shared" si="5"/>
        <v>0</v>
      </c>
      <c r="K59" s="34">
        <f t="shared" si="2"/>
        <v>0</v>
      </c>
      <c r="L59" s="34">
        <f t="shared" si="3"/>
        <v>0</v>
      </c>
    </row>
    <row r="60" spans="1:12" ht="16" customHeight="1">
      <c r="A60" s="43"/>
      <c r="B60" s="44" t="s">
        <v>196</v>
      </c>
      <c r="C60" s="29">
        <v>35</v>
      </c>
      <c r="D60" s="45" t="s">
        <v>13</v>
      </c>
      <c r="E60" s="56">
        <v>220000</v>
      </c>
      <c r="F60" s="47">
        <f>C60*E60</f>
        <v>7700000</v>
      </c>
      <c r="G60" s="33">
        <v>165000</v>
      </c>
      <c r="H60" s="33">
        <f t="shared" si="6"/>
        <v>5775000</v>
      </c>
      <c r="J60" s="34">
        <f t="shared" si="5"/>
        <v>385000</v>
      </c>
      <c r="K60" s="34">
        <f t="shared" si="2"/>
        <v>38500</v>
      </c>
      <c r="L60" s="34">
        <f t="shared" si="3"/>
        <v>423500</v>
      </c>
    </row>
    <row r="61" spans="1:12" ht="16" customHeight="1">
      <c r="A61" s="43"/>
      <c r="B61" s="44" t="s">
        <v>197</v>
      </c>
      <c r="C61" s="29">
        <v>6</v>
      </c>
      <c r="D61" s="45" t="s">
        <v>13</v>
      </c>
      <c r="E61" s="56">
        <v>220000</v>
      </c>
      <c r="F61" s="47">
        <f>C61*E61</f>
        <v>1320000</v>
      </c>
      <c r="G61" s="33">
        <v>165000</v>
      </c>
      <c r="H61" s="33">
        <f t="shared" si="6"/>
        <v>990000</v>
      </c>
      <c r="J61" s="34">
        <f t="shared" si="5"/>
        <v>385000</v>
      </c>
      <c r="K61" s="34">
        <f t="shared" si="2"/>
        <v>38500</v>
      </c>
      <c r="L61" s="34">
        <f t="shared" si="3"/>
        <v>423500</v>
      </c>
    </row>
    <row r="62" spans="1:12" ht="16" customHeight="1">
      <c r="A62" s="43"/>
      <c r="B62" s="44" t="s">
        <v>198</v>
      </c>
      <c r="C62" s="29">
        <v>13</v>
      </c>
      <c r="D62" s="45" t="s">
        <v>13</v>
      </c>
      <c r="E62" s="56">
        <v>220000</v>
      </c>
      <c r="F62" s="47">
        <f>C62*E62</f>
        <v>2860000</v>
      </c>
      <c r="G62" s="33">
        <v>165000</v>
      </c>
      <c r="H62" s="33">
        <f t="shared" si="6"/>
        <v>2145000</v>
      </c>
      <c r="J62" s="34">
        <f t="shared" si="5"/>
        <v>385000</v>
      </c>
      <c r="K62" s="34">
        <f t="shared" si="2"/>
        <v>38500</v>
      </c>
      <c r="L62" s="34">
        <f t="shared" si="3"/>
        <v>423500</v>
      </c>
    </row>
    <row r="63" spans="1:12" ht="16" customHeight="1">
      <c r="A63" s="43"/>
      <c r="B63" s="44" t="s">
        <v>199</v>
      </c>
      <c r="C63" s="29">
        <v>6</v>
      </c>
      <c r="D63" s="45" t="s">
        <v>13</v>
      </c>
      <c r="E63" s="56">
        <v>2200000</v>
      </c>
      <c r="F63" s="48">
        <f>C63*E63</f>
        <v>13200000</v>
      </c>
      <c r="G63" s="33">
        <v>220000</v>
      </c>
      <c r="H63" s="33">
        <f t="shared" si="6"/>
        <v>1320000</v>
      </c>
      <c r="J63" s="34">
        <f t="shared" si="5"/>
        <v>2420000</v>
      </c>
      <c r="K63" s="34">
        <f t="shared" si="2"/>
        <v>242000</v>
      </c>
      <c r="L63" s="34">
        <f t="shared" si="3"/>
        <v>2662000</v>
      </c>
    </row>
    <row r="64" spans="1:12" ht="16" customHeight="1" thickBot="1">
      <c r="A64" s="27">
        <v>5</v>
      </c>
      <c r="B64" s="44" t="s">
        <v>169</v>
      </c>
      <c r="C64" s="29">
        <v>1</v>
      </c>
      <c r="D64" s="45" t="s">
        <v>164</v>
      </c>
      <c r="E64" s="56">
        <v>3165034.5</v>
      </c>
      <c r="F64" s="47">
        <f>C64*E64</f>
        <v>3165034.5</v>
      </c>
      <c r="G64" s="33"/>
      <c r="H64" s="33">
        <f t="shared" si="6"/>
        <v>0</v>
      </c>
      <c r="J64" s="34">
        <f t="shared" si="5"/>
        <v>3165034.5</v>
      </c>
      <c r="K64" s="34">
        <f t="shared" si="2"/>
        <v>316503.45</v>
      </c>
      <c r="L64" s="34">
        <f t="shared" si="3"/>
        <v>3481537.95</v>
      </c>
    </row>
    <row r="65" spans="1:12" ht="16" customHeight="1" thickBot="1">
      <c r="A65" s="36"/>
      <c r="B65" s="37"/>
      <c r="C65" s="38"/>
      <c r="D65" s="38"/>
      <c r="E65" s="39" t="s">
        <v>245</v>
      </c>
      <c r="F65" s="40">
        <f>SUM(F48:F64)</f>
        <v>108666184.5</v>
      </c>
      <c r="G65" s="38" t="s">
        <v>246</v>
      </c>
      <c r="H65" s="41">
        <f>SUM(H48:H64)</f>
        <v>23863950</v>
      </c>
      <c r="J65" s="34"/>
      <c r="K65" s="34"/>
      <c r="L65" s="34"/>
    </row>
    <row r="66" spans="1:12" ht="16" customHeight="1">
      <c r="A66" s="50" t="s">
        <v>243</v>
      </c>
      <c r="B66" s="51" t="s">
        <v>200</v>
      </c>
      <c r="C66" s="43"/>
      <c r="D66" s="43"/>
      <c r="E66" s="46"/>
      <c r="F66" s="43"/>
      <c r="G66" s="26"/>
      <c r="H66" s="26"/>
      <c r="J66" s="34">
        <f t="shared" si="5"/>
        <v>0</v>
      </c>
      <c r="K66" s="34">
        <f t="shared" si="2"/>
        <v>0</v>
      </c>
      <c r="L66" s="34">
        <f t="shared" si="3"/>
        <v>0</v>
      </c>
    </row>
    <row r="67" spans="1:12" ht="16" customHeight="1">
      <c r="A67" s="27">
        <v>1</v>
      </c>
      <c r="B67" s="44" t="s">
        <v>247</v>
      </c>
      <c r="C67" s="29">
        <v>18</v>
      </c>
      <c r="D67" s="45" t="s">
        <v>55</v>
      </c>
      <c r="E67" s="56">
        <v>700000</v>
      </c>
      <c r="F67" s="47">
        <f>C67*E67</f>
        <v>12600000</v>
      </c>
      <c r="G67" s="33">
        <v>50000</v>
      </c>
      <c r="H67" s="33">
        <f t="shared" ref="H67:H72" si="7">C67*G67</f>
        <v>900000</v>
      </c>
      <c r="J67" s="34">
        <f t="shared" si="5"/>
        <v>750000</v>
      </c>
      <c r="K67" s="34">
        <f t="shared" si="2"/>
        <v>75000</v>
      </c>
      <c r="L67" s="34">
        <f t="shared" si="3"/>
        <v>825000</v>
      </c>
    </row>
    <row r="68" spans="1:12" ht="16" customHeight="1">
      <c r="A68" s="43"/>
      <c r="B68" s="44" t="s">
        <v>225</v>
      </c>
      <c r="C68" s="29">
        <v>18</v>
      </c>
      <c r="D68" s="45" t="s">
        <v>226</v>
      </c>
      <c r="E68" s="56">
        <v>250000</v>
      </c>
      <c r="F68" s="47">
        <f>C68*E68</f>
        <v>4500000</v>
      </c>
      <c r="G68" s="33">
        <v>110000</v>
      </c>
      <c r="H68" s="33">
        <f t="shared" si="7"/>
        <v>1980000</v>
      </c>
      <c r="J68" s="34">
        <f t="shared" si="5"/>
        <v>360000</v>
      </c>
      <c r="K68" s="34">
        <f t="shared" si="2"/>
        <v>36000</v>
      </c>
      <c r="L68" s="34">
        <f t="shared" si="3"/>
        <v>396000</v>
      </c>
    </row>
    <row r="69" spans="1:12" ht="16" customHeight="1">
      <c r="A69" s="27">
        <v>2</v>
      </c>
      <c r="B69" s="44" t="s">
        <v>202</v>
      </c>
      <c r="C69" s="43"/>
      <c r="D69" s="43"/>
      <c r="E69" s="56"/>
      <c r="F69" s="43"/>
      <c r="G69" s="33"/>
      <c r="H69" s="33">
        <f t="shared" si="7"/>
        <v>0</v>
      </c>
      <c r="J69" s="34">
        <f t="shared" si="5"/>
        <v>0</v>
      </c>
      <c r="K69" s="34">
        <f t="shared" si="2"/>
        <v>0</v>
      </c>
      <c r="L69" s="34">
        <f t="shared" si="3"/>
        <v>0</v>
      </c>
    </row>
    <row r="70" spans="1:12" ht="16" customHeight="1">
      <c r="A70" s="43"/>
      <c r="B70" s="44" t="s">
        <v>248</v>
      </c>
      <c r="C70" s="29">
        <v>28.5</v>
      </c>
      <c r="D70" s="45" t="s">
        <v>174</v>
      </c>
      <c r="E70" s="56">
        <v>132000</v>
      </c>
      <c r="F70" s="47">
        <f>C70*E70</f>
        <v>3762000</v>
      </c>
      <c r="G70" s="33">
        <v>71500</v>
      </c>
      <c r="H70" s="33">
        <f t="shared" si="7"/>
        <v>2037750</v>
      </c>
      <c r="J70" s="34">
        <f t="shared" si="5"/>
        <v>203500</v>
      </c>
      <c r="K70" s="34">
        <f t="shared" si="2"/>
        <v>20350</v>
      </c>
      <c r="L70" s="34">
        <f t="shared" si="3"/>
        <v>223850</v>
      </c>
    </row>
    <row r="71" spans="1:12" ht="16" customHeight="1">
      <c r="A71" s="43"/>
      <c r="B71" s="44" t="s">
        <v>203</v>
      </c>
      <c r="C71" s="29">
        <v>36.6</v>
      </c>
      <c r="D71" s="45" t="s">
        <v>174</v>
      </c>
      <c r="E71" s="56">
        <v>52250</v>
      </c>
      <c r="F71" s="47">
        <f>C71*E71</f>
        <v>1912350</v>
      </c>
      <c r="G71" s="33">
        <v>49500</v>
      </c>
      <c r="H71" s="33">
        <f t="shared" si="7"/>
        <v>1811700</v>
      </c>
      <c r="J71" s="34">
        <f t="shared" si="5"/>
        <v>101750</v>
      </c>
      <c r="K71" s="34">
        <f t="shared" si="2"/>
        <v>10175</v>
      </c>
      <c r="L71" s="34">
        <f t="shared" si="3"/>
        <v>111925</v>
      </c>
    </row>
    <row r="72" spans="1:12" ht="16" customHeight="1" thickBot="1">
      <c r="A72" s="59">
        <v>3</v>
      </c>
      <c r="B72" s="60" t="s">
        <v>169</v>
      </c>
      <c r="C72" s="61">
        <v>1</v>
      </c>
      <c r="D72" s="62" t="s">
        <v>164</v>
      </c>
      <c r="E72" s="63">
        <v>4468717.5</v>
      </c>
      <c r="F72" s="64">
        <f>C72*E72</f>
        <v>4468717.5</v>
      </c>
      <c r="G72" s="65"/>
      <c r="H72" s="65">
        <f t="shared" si="7"/>
        <v>0</v>
      </c>
      <c r="J72" s="34">
        <f t="shared" si="5"/>
        <v>4468717.5</v>
      </c>
      <c r="K72" s="34">
        <f t="shared" si="2"/>
        <v>446871.75</v>
      </c>
      <c r="L72" s="34">
        <f t="shared" si="3"/>
        <v>4915589.25</v>
      </c>
    </row>
    <row r="73" spans="1:12" ht="16" customHeight="1" thickBot="1">
      <c r="A73" s="66"/>
      <c r="B73" s="37"/>
      <c r="C73" s="38"/>
      <c r="D73" s="38"/>
      <c r="E73" s="39" t="s">
        <v>249</v>
      </c>
      <c r="F73" s="40">
        <f>SUM(F67:F72)</f>
        <v>27243067.5</v>
      </c>
      <c r="G73" s="38" t="s">
        <v>250</v>
      </c>
      <c r="H73" s="67">
        <f>SUM(H67:H71)</f>
        <v>6729450</v>
      </c>
      <c r="J73" s="34"/>
      <c r="K73" s="34"/>
      <c r="L73" s="34"/>
    </row>
    <row r="74" spans="1:12" ht="16" customHeight="1">
      <c r="A74" s="68" t="s">
        <v>251</v>
      </c>
      <c r="B74" s="69" t="s">
        <v>204</v>
      </c>
      <c r="C74" s="70"/>
      <c r="D74" s="70"/>
      <c r="E74" s="71"/>
      <c r="F74" s="70"/>
      <c r="G74" s="72"/>
      <c r="H74" s="73"/>
      <c r="J74" s="34">
        <f t="shared" si="5"/>
        <v>0</v>
      </c>
      <c r="K74" s="34">
        <f t="shared" si="2"/>
        <v>0</v>
      </c>
      <c r="L74" s="34">
        <f t="shared" si="3"/>
        <v>0</v>
      </c>
    </row>
    <row r="75" spans="1:12" ht="16" customHeight="1">
      <c r="A75" s="27">
        <v>1</v>
      </c>
      <c r="B75" s="44" t="s">
        <v>205</v>
      </c>
      <c r="C75" s="43"/>
      <c r="D75" s="43"/>
      <c r="E75" s="46"/>
      <c r="F75" s="74"/>
      <c r="G75" s="26"/>
      <c r="H75" s="26"/>
      <c r="J75" s="34">
        <f t="shared" si="5"/>
        <v>0</v>
      </c>
      <c r="K75" s="34">
        <f t="shared" si="2"/>
        <v>0</v>
      </c>
      <c r="L75" s="34">
        <f t="shared" si="3"/>
        <v>0</v>
      </c>
    </row>
    <row r="76" spans="1:12" ht="16" customHeight="1">
      <c r="A76" s="43"/>
      <c r="B76" s="44" t="s">
        <v>206</v>
      </c>
      <c r="C76" s="27">
        <v>288</v>
      </c>
      <c r="D76" s="45" t="s">
        <v>174</v>
      </c>
      <c r="E76" s="56">
        <v>33000</v>
      </c>
      <c r="F76" s="74">
        <f t="shared" ref="F76:F91" si="8">C76*E76</f>
        <v>9504000</v>
      </c>
      <c r="G76" s="33">
        <v>22000</v>
      </c>
      <c r="H76" s="33">
        <f t="shared" ref="H76:H91" si="9">C76*G76</f>
        <v>6336000</v>
      </c>
      <c r="J76" s="34">
        <f>E76+G76</f>
        <v>55000</v>
      </c>
      <c r="K76" s="34">
        <f t="shared" si="2"/>
        <v>5500</v>
      </c>
      <c r="L76" s="34">
        <f t="shared" si="3"/>
        <v>60500</v>
      </c>
    </row>
    <row r="77" spans="1:12" ht="16" customHeight="1">
      <c r="A77" s="43"/>
      <c r="B77" s="44" t="s">
        <v>207</v>
      </c>
      <c r="C77" s="27">
        <v>290</v>
      </c>
      <c r="D77" s="45" t="s">
        <v>174</v>
      </c>
      <c r="E77" s="56">
        <v>40700</v>
      </c>
      <c r="F77" s="74">
        <f t="shared" si="8"/>
        <v>11803000</v>
      </c>
      <c r="G77" s="33">
        <v>22000</v>
      </c>
      <c r="H77" s="33">
        <f t="shared" si="9"/>
        <v>6380000</v>
      </c>
      <c r="J77" s="34">
        <f t="shared" si="5"/>
        <v>62700</v>
      </c>
      <c r="K77" s="34">
        <f t="shared" si="2"/>
        <v>6270</v>
      </c>
      <c r="L77" s="34">
        <f t="shared" si="3"/>
        <v>68970</v>
      </c>
    </row>
    <row r="78" spans="1:12" ht="16" customHeight="1">
      <c r="A78" s="43"/>
      <c r="B78" s="44" t="s">
        <v>208</v>
      </c>
      <c r="C78" s="27">
        <v>225</v>
      </c>
      <c r="D78" s="45" t="s">
        <v>174</v>
      </c>
      <c r="E78" s="56">
        <v>71500</v>
      </c>
      <c r="F78" s="74">
        <f t="shared" si="8"/>
        <v>16087500</v>
      </c>
      <c r="G78" s="33">
        <v>22000</v>
      </c>
      <c r="H78" s="33">
        <f t="shared" si="9"/>
        <v>4950000</v>
      </c>
      <c r="J78" s="34">
        <f t="shared" si="5"/>
        <v>93500</v>
      </c>
      <c r="K78" s="34">
        <f t="shared" si="2"/>
        <v>9350</v>
      </c>
      <c r="L78" s="34">
        <f t="shared" si="3"/>
        <v>102850</v>
      </c>
    </row>
    <row r="79" spans="1:12" ht="16" customHeight="1">
      <c r="A79" s="43"/>
      <c r="B79" s="44" t="s">
        <v>209</v>
      </c>
      <c r="C79" s="27">
        <v>210</v>
      </c>
      <c r="D79" s="45" t="s">
        <v>174</v>
      </c>
      <c r="E79" s="56">
        <v>154000</v>
      </c>
      <c r="F79" s="74">
        <f t="shared" si="8"/>
        <v>32340000</v>
      </c>
      <c r="G79" s="33">
        <v>22000</v>
      </c>
      <c r="H79" s="33">
        <f t="shared" si="9"/>
        <v>4620000</v>
      </c>
      <c r="J79" s="34">
        <f>E79+G79</f>
        <v>176000</v>
      </c>
      <c r="K79" s="34">
        <f t="shared" si="2"/>
        <v>17600</v>
      </c>
      <c r="L79" s="34">
        <f t="shared" si="3"/>
        <v>193600</v>
      </c>
    </row>
    <row r="80" spans="1:12" ht="16" customHeight="1">
      <c r="A80" s="43"/>
      <c r="B80" s="44" t="s">
        <v>210</v>
      </c>
      <c r="C80" s="75">
        <v>148.5</v>
      </c>
      <c r="D80" s="45" t="s">
        <v>174</v>
      </c>
      <c r="E80" s="56">
        <v>77000</v>
      </c>
      <c r="F80" s="74">
        <f t="shared" si="8"/>
        <v>11434500</v>
      </c>
      <c r="G80" s="33">
        <v>27500</v>
      </c>
      <c r="H80" s="33">
        <f t="shared" si="9"/>
        <v>4083750</v>
      </c>
      <c r="J80" s="34">
        <f t="shared" si="5"/>
        <v>104500</v>
      </c>
      <c r="K80" s="34">
        <f t="shared" si="2"/>
        <v>10450</v>
      </c>
      <c r="L80" s="34">
        <f t="shared" si="3"/>
        <v>114950</v>
      </c>
    </row>
    <row r="81" spans="1:12" ht="16" customHeight="1">
      <c r="A81" s="43"/>
      <c r="B81" s="44" t="s">
        <v>173</v>
      </c>
      <c r="C81" s="27">
        <v>125</v>
      </c>
      <c r="D81" s="45" t="s">
        <v>174</v>
      </c>
      <c r="E81" s="56">
        <v>165000</v>
      </c>
      <c r="F81" s="74">
        <f t="shared" si="8"/>
        <v>20625000</v>
      </c>
      <c r="G81" s="33">
        <v>27500</v>
      </c>
      <c r="H81" s="33">
        <f t="shared" si="9"/>
        <v>3437500</v>
      </c>
      <c r="J81" s="34">
        <f t="shared" si="5"/>
        <v>192500</v>
      </c>
      <c r="K81" s="34">
        <f t="shared" si="2"/>
        <v>19250</v>
      </c>
      <c r="L81" s="34">
        <f t="shared" si="3"/>
        <v>211750</v>
      </c>
    </row>
    <row r="82" spans="1:12" ht="16" customHeight="1">
      <c r="A82" s="43"/>
      <c r="B82" s="44" t="s">
        <v>175</v>
      </c>
      <c r="C82" s="27">
        <v>54</v>
      </c>
      <c r="D82" s="45" t="s">
        <v>174</v>
      </c>
      <c r="E82" s="56">
        <v>209000</v>
      </c>
      <c r="F82" s="74">
        <f t="shared" si="8"/>
        <v>11286000</v>
      </c>
      <c r="G82" s="33">
        <v>27500</v>
      </c>
      <c r="H82" s="33">
        <f t="shared" si="9"/>
        <v>1485000</v>
      </c>
      <c r="J82" s="34">
        <f t="shared" si="5"/>
        <v>236500</v>
      </c>
      <c r="K82" s="34">
        <f t="shared" si="2"/>
        <v>23650</v>
      </c>
      <c r="L82" s="34">
        <f t="shared" si="3"/>
        <v>260150</v>
      </c>
    </row>
    <row r="83" spans="1:12" ht="16" customHeight="1">
      <c r="A83" s="43"/>
      <c r="B83" s="44" t="s">
        <v>252</v>
      </c>
      <c r="C83" s="27">
        <v>55</v>
      </c>
      <c r="D83" s="45" t="s">
        <v>174</v>
      </c>
      <c r="E83" s="56">
        <v>440000</v>
      </c>
      <c r="F83" s="74">
        <f t="shared" si="8"/>
        <v>24200000</v>
      </c>
      <c r="G83" s="33">
        <v>44000</v>
      </c>
      <c r="H83" s="33">
        <f t="shared" si="9"/>
        <v>2420000</v>
      </c>
      <c r="J83" s="34">
        <f t="shared" si="5"/>
        <v>484000</v>
      </c>
      <c r="K83" s="34">
        <f t="shared" si="2"/>
        <v>48400</v>
      </c>
      <c r="L83" s="34">
        <f t="shared" si="3"/>
        <v>532400</v>
      </c>
    </row>
    <row r="84" spans="1:12" ht="16" customHeight="1">
      <c r="A84" s="43"/>
      <c r="B84" s="44" t="s">
        <v>253</v>
      </c>
      <c r="C84" s="27">
        <v>122</v>
      </c>
      <c r="D84" s="45" t="s">
        <v>174</v>
      </c>
      <c r="E84" s="56">
        <v>550000</v>
      </c>
      <c r="F84" s="74">
        <f t="shared" si="8"/>
        <v>67100000</v>
      </c>
      <c r="G84" s="33">
        <v>44000</v>
      </c>
      <c r="H84" s="33">
        <f t="shared" si="9"/>
        <v>5368000</v>
      </c>
      <c r="J84" s="34">
        <f t="shared" si="5"/>
        <v>594000</v>
      </c>
      <c r="K84" s="34">
        <f t="shared" si="2"/>
        <v>59400</v>
      </c>
      <c r="L84" s="34">
        <f t="shared" si="3"/>
        <v>653400</v>
      </c>
    </row>
    <row r="85" spans="1:12" ht="16" customHeight="1">
      <c r="A85" s="43"/>
      <c r="B85" s="44" t="s">
        <v>211</v>
      </c>
      <c r="C85" s="27">
        <v>74</v>
      </c>
      <c r="D85" s="45" t="s">
        <v>94</v>
      </c>
      <c r="E85" s="56">
        <v>110000</v>
      </c>
      <c r="F85" s="74">
        <f t="shared" si="8"/>
        <v>8140000</v>
      </c>
      <c r="G85" s="33">
        <v>27500</v>
      </c>
      <c r="H85" s="33">
        <f t="shared" si="9"/>
        <v>2035000</v>
      </c>
      <c r="J85" s="34">
        <f t="shared" si="5"/>
        <v>137500</v>
      </c>
      <c r="K85" s="34">
        <f t="shared" si="2"/>
        <v>13750</v>
      </c>
      <c r="L85" s="34">
        <f t="shared" si="3"/>
        <v>151250</v>
      </c>
    </row>
    <row r="86" spans="1:12" ht="16" customHeight="1">
      <c r="A86" s="27">
        <v>2</v>
      </c>
      <c r="B86" s="44" t="s">
        <v>212</v>
      </c>
      <c r="C86" s="43"/>
      <c r="D86" s="43"/>
      <c r="E86" s="56"/>
      <c r="F86" s="74">
        <f t="shared" si="8"/>
        <v>0</v>
      </c>
      <c r="G86" s="33"/>
      <c r="H86" s="33">
        <f t="shared" si="9"/>
        <v>0</v>
      </c>
      <c r="J86" s="34">
        <f t="shared" si="5"/>
        <v>0</v>
      </c>
      <c r="K86" s="34">
        <f t="shared" si="2"/>
        <v>0</v>
      </c>
      <c r="L86" s="34">
        <f t="shared" si="3"/>
        <v>0</v>
      </c>
    </row>
    <row r="87" spans="1:12" ht="16" customHeight="1">
      <c r="A87" s="43"/>
      <c r="B87" s="44" t="s">
        <v>254</v>
      </c>
      <c r="C87" s="29">
        <v>76</v>
      </c>
      <c r="D87" s="45" t="s">
        <v>174</v>
      </c>
      <c r="E87" s="56">
        <v>22550</v>
      </c>
      <c r="F87" s="74">
        <f t="shared" si="8"/>
        <v>1713800</v>
      </c>
      <c r="G87" s="33">
        <v>13200</v>
      </c>
      <c r="H87" s="33">
        <f t="shared" si="9"/>
        <v>1003200</v>
      </c>
      <c r="J87" s="34">
        <f t="shared" si="5"/>
        <v>35750</v>
      </c>
      <c r="K87" s="34">
        <f t="shared" si="2"/>
        <v>3575</v>
      </c>
      <c r="L87" s="34">
        <f t="shared" si="3"/>
        <v>39325</v>
      </c>
    </row>
    <row r="88" spans="1:12" ht="16" customHeight="1">
      <c r="A88" s="43"/>
      <c r="B88" s="44" t="s">
        <v>255</v>
      </c>
      <c r="C88" s="29">
        <v>115</v>
      </c>
      <c r="D88" s="45" t="s">
        <v>174</v>
      </c>
      <c r="E88" s="56">
        <v>15950</v>
      </c>
      <c r="F88" s="74">
        <f t="shared" si="8"/>
        <v>1834250</v>
      </c>
      <c r="G88" s="33">
        <v>13200</v>
      </c>
      <c r="H88" s="33">
        <f t="shared" si="9"/>
        <v>1518000</v>
      </c>
      <c r="J88" s="34">
        <f t="shared" si="5"/>
        <v>29150</v>
      </c>
      <c r="K88" s="34">
        <f>J88*10%</f>
        <v>2915</v>
      </c>
      <c r="L88" s="34">
        <f>J88+K88</f>
        <v>32065</v>
      </c>
    </row>
    <row r="89" spans="1:12" ht="16" customHeight="1">
      <c r="A89" s="43"/>
      <c r="B89" s="44" t="s">
        <v>213</v>
      </c>
      <c r="C89" s="29">
        <v>206</v>
      </c>
      <c r="D89" s="45" t="s">
        <v>174</v>
      </c>
      <c r="E89" s="56">
        <v>15400</v>
      </c>
      <c r="F89" s="74">
        <f t="shared" si="8"/>
        <v>3172400</v>
      </c>
      <c r="G89" s="33">
        <v>13200</v>
      </c>
      <c r="H89" s="33">
        <f t="shared" si="9"/>
        <v>2719200</v>
      </c>
      <c r="J89" s="34">
        <f t="shared" si="5"/>
        <v>28600</v>
      </c>
      <c r="K89" s="34">
        <f>J89*10%</f>
        <v>2860</v>
      </c>
      <c r="L89" s="34">
        <f>J89+K89</f>
        <v>31460</v>
      </c>
    </row>
    <row r="90" spans="1:12" ht="16" customHeight="1">
      <c r="A90" s="43"/>
      <c r="B90" s="44" t="s">
        <v>214</v>
      </c>
      <c r="C90" s="29">
        <v>175</v>
      </c>
      <c r="D90" s="45" t="s">
        <v>174</v>
      </c>
      <c r="E90" s="56">
        <v>14300</v>
      </c>
      <c r="F90" s="74">
        <f t="shared" si="8"/>
        <v>2502500</v>
      </c>
      <c r="G90" s="33">
        <v>13200</v>
      </c>
      <c r="H90" s="33">
        <f t="shared" si="9"/>
        <v>2310000</v>
      </c>
      <c r="J90" s="34">
        <f t="shared" si="5"/>
        <v>27500</v>
      </c>
      <c r="K90" s="34">
        <f>J90*10%</f>
        <v>2750</v>
      </c>
      <c r="L90" s="34">
        <f>J90+K90</f>
        <v>30250</v>
      </c>
    </row>
    <row r="91" spans="1:12" ht="16" customHeight="1" thickBot="1">
      <c r="A91" s="59">
        <v>3</v>
      </c>
      <c r="B91" s="60" t="s">
        <v>169</v>
      </c>
      <c r="C91" s="61">
        <v>1</v>
      </c>
      <c r="D91" s="62" t="s">
        <v>164</v>
      </c>
      <c r="E91" s="76">
        <v>11087147.5</v>
      </c>
      <c r="F91" s="64">
        <f t="shared" si="8"/>
        <v>11087147.5</v>
      </c>
      <c r="G91" s="65"/>
      <c r="H91" s="65">
        <f t="shared" si="9"/>
        <v>0</v>
      </c>
      <c r="J91" s="34">
        <f t="shared" si="5"/>
        <v>11087147.5</v>
      </c>
      <c r="K91" s="34">
        <f>J91*10%</f>
        <v>1108714.75</v>
      </c>
      <c r="L91" s="34">
        <f>J91+K91</f>
        <v>12195862.25</v>
      </c>
    </row>
    <row r="92" spans="1:12" ht="16" customHeight="1" thickBot="1">
      <c r="A92" s="66"/>
      <c r="B92" s="37"/>
      <c r="C92" s="38"/>
      <c r="D92" s="38"/>
      <c r="E92" s="39" t="s">
        <v>256</v>
      </c>
      <c r="F92" s="40">
        <f>SUM(F75:F91)</f>
        <v>232830097.5</v>
      </c>
      <c r="G92" s="38" t="s">
        <v>257</v>
      </c>
      <c r="H92" s="41">
        <f>SUM(H75:H91)</f>
        <v>48665650</v>
      </c>
      <c r="J92" s="34"/>
      <c r="K92" s="34"/>
      <c r="L92" s="34"/>
    </row>
    <row r="93" spans="1:12" ht="16" customHeight="1">
      <c r="A93" s="77"/>
      <c r="B93" s="78"/>
      <c r="C93" s="807"/>
      <c r="D93" s="808"/>
      <c r="E93" s="808"/>
      <c r="F93" s="808"/>
      <c r="G93" s="809"/>
      <c r="H93" s="79"/>
    </row>
    <row r="94" spans="1:12" ht="16" customHeight="1">
      <c r="A94" s="50" t="s">
        <v>29</v>
      </c>
      <c r="B94" s="51" t="s">
        <v>258</v>
      </c>
      <c r="C94" s="43"/>
      <c r="D94" s="43"/>
      <c r="E94" s="46"/>
      <c r="F94" s="43"/>
      <c r="G94" s="26"/>
      <c r="H94" s="26"/>
    </row>
    <row r="95" spans="1:12" ht="16" customHeight="1">
      <c r="A95" s="27">
        <v>1</v>
      </c>
      <c r="B95" s="44" t="s">
        <v>259</v>
      </c>
      <c r="C95" s="29">
        <v>1</v>
      </c>
      <c r="D95" s="45" t="s">
        <v>17</v>
      </c>
      <c r="E95" s="56">
        <v>264000000</v>
      </c>
      <c r="F95" s="74">
        <f>C95*E95</f>
        <v>264000000</v>
      </c>
      <c r="G95" s="26"/>
      <c r="H95" s="26"/>
    </row>
    <row r="96" spans="1:12" ht="16" customHeight="1">
      <c r="A96" s="43"/>
      <c r="B96" s="44" t="s">
        <v>260</v>
      </c>
      <c r="C96" s="43"/>
      <c r="D96" s="43"/>
      <c r="E96" s="56"/>
      <c r="F96" s="74"/>
      <c r="G96" s="26"/>
      <c r="H96" s="26"/>
    </row>
    <row r="97" spans="1:8" ht="16" customHeight="1">
      <c r="A97" s="43"/>
      <c r="B97" s="44" t="s">
        <v>261</v>
      </c>
      <c r="C97" s="43"/>
      <c r="D97" s="43"/>
      <c r="E97" s="56"/>
      <c r="F97" s="74"/>
      <c r="G97" s="26"/>
      <c r="H97" s="26"/>
    </row>
    <row r="98" spans="1:8" ht="16" customHeight="1">
      <c r="A98" s="43"/>
      <c r="B98" s="44" t="s">
        <v>262</v>
      </c>
      <c r="C98" s="43"/>
      <c r="D98" s="43"/>
      <c r="E98" s="56"/>
      <c r="F98" s="74"/>
      <c r="G98" s="26"/>
      <c r="H98" s="26"/>
    </row>
    <row r="99" spans="1:8" ht="16" customHeight="1">
      <c r="A99" s="43"/>
      <c r="B99" s="44" t="s">
        <v>263</v>
      </c>
      <c r="C99" s="43"/>
      <c r="D99" s="43"/>
      <c r="E99" s="56"/>
      <c r="F99" s="74"/>
      <c r="G99" s="26"/>
      <c r="H99" s="26"/>
    </row>
    <row r="100" spans="1:8" ht="16" customHeight="1">
      <c r="A100" s="43"/>
      <c r="B100" s="44" t="s">
        <v>264</v>
      </c>
      <c r="C100" s="43"/>
      <c r="D100" s="43"/>
      <c r="E100" s="56"/>
      <c r="F100" s="74"/>
      <c r="G100" s="26"/>
      <c r="H100" s="26"/>
    </row>
    <row r="101" spans="1:8" ht="16" customHeight="1">
      <c r="A101" s="43"/>
      <c r="B101" s="44" t="s">
        <v>265</v>
      </c>
      <c r="C101" s="43"/>
      <c r="D101" s="43"/>
      <c r="E101" s="56"/>
      <c r="F101" s="74"/>
      <c r="G101" s="26"/>
      <c r="H101" s="26"/>
    </row>
    <row r="102" spans="1:8" ht="16" customHeight="1">
      <c r="A102" s="43"/>
      <c r="B102" s="44" t="s">
        <v>266</v>
      </c>
      <c r="C102" s="43"/>
      <c r="D102" s="43"/>
      <c r="E102" s="46"/>
      <c r="F102" s="74"/>
      <c r="G102" s="26"/>
      <c r="H102" s="26"/>
    </row>
    <row r="103" spans="1:8" ht="16" customHeight="1" thickBot="1">
      <c r="A103" s="27">
        <v>2</v>
      </c>
      <c r="B103" s="44" t="s">
        <v>267</v>
      </c>
      <c r="C103" s="29">
        <v>1</v>
      </c>
      <c r="D103" s="45" t="s">
        <v>164</v>
      </c>
      <c r="E103" s="57"/>
      <c r="F103" s="74"/>
      <c r="G103" s="33">
        <v>55000000</v>
      </c>
      <c r="H103" s="33">
        <f>C95*G103</f>
        <v>55000000</v>
      </c>
    </row>
    <row r="104" spans="1:8" ht="16" customHeight="1" thickBot="1">
      <c r="A104" s="66"/>
      <c r="B104" s="37"/>
      <c r="C104" s="38"/>
      <c r="D104" s="38"/>
      <c r="E104" s="39" t="s">
        <v>268</v>
      </c>
      <c r="F104" s="40">
        <f>SUM(F95:F103)</f>
        <v>264000000</v>
      </c>
      <c r="G104" s="38" t="s">
        <v>269</v>
      </c>
      <c r="H104" s="41">
        <f>SUM(H101:H103)</f>
        <v>55000000</v>
      </c>
    </row>
    <row r="105" spans="1:8" ht="16" customHeight="1">
      <c r="A105" s="50" t="s">
        <v>54</v>
      </c>
      <c r="B105" s="51" t="s">
        <v>270</v>
      </c>
      <c r="C105" s="43"/>
      <c r="D105" s="43"/>
      <c r="E105" s="46"/>
      <c r="F105" s="43"/>
      <c r="G105" s="26"/>
      <c r="H105" s="26"/>
    </row>
    <row r="106" spans="1:8" ht="16" customHeight="1">
      <c r="A106" s="50" t="s">
        <v>31</v>
      </c>
      <c r="B106" s="51" t="s">
        <v>271</v>
      </c>
      <c r="C106" s="43"/>
      <c r="D106" s="43"/>
      <c r="E106" s="46"/>
      <c r="F106" s="43"/>
      <c r="G106" s="26"/>
      <c r="H106" s="26"/>
    </row>
    <row r="107" spans="1:8" ht="16" customHeight="1">
      <c r="A107" s="27">
        <v>1</v>
      </c>
      <c r="B107" s="44" t="s">
        <v>272</v>
      </c>
      <c r="C107" s="29">
        <v>88</v>
      </c>
      <c r="D107" s="45" t="s">
        <v>174</v>
      </c>
      <c r="E107" s="31">
        <v>195800</v>
      </c>
      <c r="F107" s="47">
        <f>C107*E107</f>
        <v>17230400</v>
      </c>
      <c r="G107" s="33">
        <v>66000</v>
      </c>
      <c r="H107" s="33">
        <f>C107*G107</f>
        <v>5808000</v>
      </c>
    </row>
    <row r="108" spans="1:8" ht="16" customHeight="1">
      <c r="A108" s="27">
        <v>2</v>
      </c>
      <c r="B108" s="44" t="s">
        <v>273</v>
      </c>
      <c r="C108" s="29">
        <v>64</v>
      </c>
      <c r="D108" s="45" t="s">
        <v>174</v>
      </c>
      <c r="E108" s="31">
        <v>110000</v>
      </c>
      <c r="F108" s="47">
        <f>C108*E108</f>
        <v>7040000</v>
      </c>
      <c r="G108" s="33">
        <v>66000</v>
      </c>
      <c r="H108" s="33">
        <f>C108*G108</f>
        <v>4224000</v>
      </c>
    </row>
    <row r="109" spans="1:8" ht="16" customHeight="1">
      <c r="A109" s="27">
        <v>3</v>
      </c>
      <c r="B109" s="44" t="s">
        <v>274</v>
      </c>
      <c r="C109" s="29">
        <v>152</v>
      </c>
      <c r="D109" s="45" t="s">
        <v>174</v>
      </c>
      <c r="E109" s="31">
        <v>99000</v>
      </c>
      <c r="F109" s="47">
        <f>C109*E109</f>
        <v>15048000</v>
      </c>
      <c r="G109" s="33">
        <v>66000</v>
      </c>
      <c r="H109" s="33">
        <f>C109*G109</f>
        <v>10032000</v>
      </c>
    </row>
    <row r="110" spans="1:8" ht="16" customHeight="1" thickBot="1">
      <c r="A110" s="27">
        <v>4</v>
      </c>
      <c r="B110" s="44" t="s">
        <v>275</v>
      </c>
      <c r="C110" s="29">
        <v>53</v>
      </c>
      <c r="D110" s="45" t="s">
        <v>174</v>
      </c>
      <c r="E110" s="31">
        <v>0</v>
      </c>
      <c r="F110" s="47">
        <f>C110*E110</f>
        <v>0</v>
      </c>
      <c r="G110" s="33">
        <v>0</v>
      </c>
      <c r="H110" s="33">
        <f>C110*G110</f>
        <v>0</v>
      </c>
    </row>
    <row r="111" spans="1:8" ht="16" customHeight="1" thickBot="1">
      <c r="A111" s="36"/>
      <c r="B111" s="37"/>
      <c r="C111" s="38"/>
      <c r="D111" s="38"/>
      <c r="E111" s="39" t="s">
        <v>276</v>
      </c>
      <c r="F111" s="40">
        <f>SUM(F107:F110)</f>
        <v>39318400</v>
      </c>
      <c r="G111" s="38" t="s">
        <v>277</v>
      </c>
      <c r="H111" s="41">
        <f>SUM(H107:H110)</f>
        <v>20064000</v>
      </c>
    </row>
    <row r="112" spans="1:8" ht="16" customHeight="1">
      <c r="A112" s="50" t="s">
        <v>237</v>
      </c>
      <c r="B112" s="51" t="s">
        <v>278</v>
      </c>
      <c r="C112" s="43"/>
      <c r="D112" s="43"/>
      <c r="E112" s="46"/>
      <c r="F112" s="43"/>
      <c r="G112" s="26"/>
      <c r="H112" s="26"/>
    </row>
    <row r="113" spans="1:8" ht="16" customHeight="1">
      <c r="A113" s="27">
        <v>1</v>
      </c>
      <c r="B113" s="44" t="s">
        <v>279</v>
      </c>
      <c r="C113" s="29">
        <v>1</v>
      </c>
      <c r="D113" s="45" t="s">
        <v>55</v>
      </c>
      <c r="E113" s="31">
        <v>7700000</v>
      </c>
      <c r="F113" s="32">
        <f>C113*E113</f>
        <v>7700000</v>
      </c>
      <c r="G113" s="47">
        <v>1980000</v>
      </c>
      <c r="H113" s="33">
        <f>C113*G113</f>
        <v>1980000</v>
      </c>
    </row>
    <row r="114" spans="1:8" ht="16" customHeight="1">
      <c r="A114" s="27">
        <v>2</v>
      </c>
      <c r="B114" s="44" t="s">
        <v>280</v>
      </c>
      <c r="C114" s="29">
        <v>1</v>
      </c>
      <c r="D114" s="45" t="s">
        <v>55</v>
      </c>
      <c r="E114" s="31">
        <v>7700000</v>
      </c>
      <c r="F114" s="32">
        <f t="shared" ref="F114:F122" si="10">C114*E114</f>
        <v>7700000</v>
      </c>
      <c r="G114" s="47">
        <v>1980000</v>
      </c>
      <c r="H114" s="33">
        <f t="shared" ref="H114:H122" si="11">C114*G114</f>
        <v>1980000</v>
      </c>
    </row>
    <row r="115" spans="1:8" ht="16" customHeight="1">
      <c r="A115" s="27">
        <v>3</v>
      </c>
      <c r="B115" s="44" t="s">
        <v>281</v>
      </c>
      <c r="C115" s="29">
        <v>1</v>
      </c>
      <c r="D115" s="45" t="s">
        <v>55</v>
      </c>
      <c r="E115" s="31">
        <v>7700000</v>
      </c>
      <c r="F115" s="32">
        <f t="shared" si="10"/>
        <v>7700000</v>
      </c>
      <c r="G115" s="47">
        <v>1980000</v>
      </c>
      <c r="H115" s="33">
        <f t="shared" si="11"/>
        <v>1980000</v>
      </c>
    </row>
    <row r="116" spans="1:8" ht="16" customHeight="1">
      <c r="A116" s="27">
        <v>4</v>
      </c>
      <c r="B116" s="44" t="s">
        <v>282</v>
      </c>
      <c r="C116" s="29">
        <v>1</v>
      </c>
      <c r="D116" s="45" t="s">
        <v>55</v>
      </c>
      <c r="E116" s="31">
        <v>7700000</v>
      </c>
      <c r="F116" s="32">
        <f t="shared" si="10"/>
        <v>7700000</v>
      </c>
      <c r="G116" s="47">
        <v>1980000</v>
      </c>
      <c r="H116" s="33">
        <f t="shared" si="11"/>
        <v>1980000</v>
      </c>
    </row>
    <row r="117" spans="1:8" ht="16" customHeight="1">
      <c r="A117" s="27">
        <v>5</v>
      </c>
      <c r="B117" s="44" t="s">
        <v>283</v>
      </c>
      <c r="C117" s="29">
        <v>1</v>
      </c>
      <c r="D117" s="45" t="s">
        <v>55</v>
      </c>
      <c r="E117" s="31">
        <v>7700000</v>
      </c>
      <c r="F117" s="32">
        <f t="shared" si="10"/>
        <v>7700000</v>
      </c>
      <c r="G117" s="47">
        <v>1980000</v>
      </c>
      <c r="H117" s="33">
        <f t="shared" si="11"/>
        <v>1980000</v>
      </c>
    </row>
    <row r="118" spans="1:8" ht="16" customHeight="1">
      <c r="A118" s="27">
        <v>6</v>
      </c>
      <c r="B118" s="44" t="s">
        <v>284</v>
      </c>
      <c r="C118" s="29">
        <v>1</v>
      </c>
      <c r="D118" s="45" t="s">
        <v>55</v>
      </c>
      <c r="E118" s="31">
        <v>7700000</v>
      </c>
      <c r="F118" s="32">
        <f t="shared" si="10"/>
        <v>7700000</v>
      </c>
      <c r="G118" s="47">
        <v>1980000</v>
      </c>
      <c r="H118" s="33">
        <f t="shared" si="11"/>
        <v>1980000</v>
      </c>
    </row>
    <row r="119" spans="1:8" ht="16" customHeight="1">
      <c r="A119" s="27">
        <v>7</v>
      </c>
      <c r="B119" s="44" t="s">
        <v>285</v>
      </c>
      <c r="C119" s="29">
        <v>1</v>
      </c>
      <c r="D119" s="45" t="s">
        <v>55</v>
      </c>
      <c r="E119" s="31">
        <v>7700000</v>
      </c>
      <c r="F119" s="32">
        <f t="shared" si="10"/>
        <v>7700000</v>
      </c>
      <c r="G119" s="47">
        <v>1980000</v>
      </c>
      <c r="H119" s="33">
        <f t="shared" si="11"/>
        <v>1980000</v>
      </c>
    </row>
    <row r="120" spans="1:8" ht="16" customHeight="1">
      <c r="A120" s="27">
        <v>8</v>
      </c>
      <c r="B120" s="44" t="s">
        <v>286</v>
      </c>
      <c r="C120" s="29">
        <v>1</v>
      </c>
      <c r="D120" s="45" t="s">
        <v>55</v>
      </c>
      <c r="E120" s="31">
        <v>7700000</v>
      </c>
      <c r="F120" s="32">
        <f t="shared" si="10"/>
        <v>7700000</v>
      </c>
      <c r="G120" s="47">
        <v>1980000</v>
      </c>
      <c r="H120" s="33">
        <f t="shared" si="11"/>
        <v>1980000</v>
      </c>
    </row>
    <row r="121" spans="1:8" ht="16" customHeight="1">
      <c r="A121" s="27">
        <v>9</v>
      </c>
      <c r="B121" s="44" t="s">
        <v>287</v>
      </c>
      <c r="C121" s="29">
        <v>2</v>
      </c>
      <c r="D121" s="45" t="s">
        <v>55</v>
      </c>
      <c r="E121" s="31">
        <v>7700000</v>
      </c>
      <c r="F121" s="32">
        <f t="shared" si="10"/>
        <v>15400000</v>
      </c>
      <c r="G121" s="47">
        <v>1980000</v>
      </c>
      <c r="H121" s="33">
        <f t="shared" si="11"/>
        <v>3960000</v>
      </c>
    </row>
    <row r="122" spans="1:8" ht="16" customHeight="1" thickBot="1">
      <c r="A122" s="27">
        <v>10</v>
      </c>
      <c r="B122" s="44" t="s">
        <v>169</v>
      </c>
      <c r="C122" s="29">
        <v>1</v>
      </c>
      <c r="D122" s="45" t="s">
        <v>164</v>
      </c>
      <c r="E122" s="31">
        <v>4000000</v>
      </c>
      <c r="F122" s="32">
        <f t="shared" si="10"/>
        <v>4000000</v>
      </c>
      <c r="G122" s="33"/>
      <c r="H122" s="33">
        <f t="shared" si="11"/>
        <v>0</v>
      </c>
    </row>
    <row r="123" spans="1:8" ht="16" customHeight="1" thickBot="1">
      <c r="A123" s="36"/>
      <c r="B123" s="37"/>
      <c r="C123" s="38"/>
      <c r="D123" s="38"/>
      <c r="E123" s="39" t="s">
        <v>288</v>
      </c>
      <c r="F123" s="40">
        <f>SUM(F113:F122)</f>
        <v>81000000</v>
      </c>
      <c r="G123" s="38" t="s">
        <v>289</v>
      </c>
      <c r="H123" s="41">
        <f>SUM(H113:H122)</f>
        <v>19800000</v>
      </c>
    </row>
    <row r="124" spans="1:8" ht="16" customHeight="1">
      <c r="A124" s="50" t="s">
        <v>243</v>
      </c>
      <c r="B124" s="51" t="s">
        <v>290</v>
      </c>
      <c r="C124" s="43"/>
      <c r="D124" s="43"/>
      <c r="E124" s="46"/>
      <c r="F124" s="43"/>
      <c r="G124" s="26"/>
      <c r="H124" s="26"/>
    </row>
    <row r="125" spans="1:8" ht="16" customHeight="1">
      <c r="A125" s="27">
        <v>1</v>
      </c>
      <c r="B125" s="44" t="s">
        <v>291</v>
      </c>
      <c r="C125" s="29">
        <v>61</v>
      </c>
      <c r="D125" s="45" t="s">
        <v>174</v>
      </c>
      <c r="E125" s="31">
        <v>1980000</v>
      </c>
      <c r="F125" s="32">
        <f>C125*E125</f>
        <v>120780000</v>
      </c>
      <c r="G125" s="32">
        <v>55000</v>
      </c>
      <c r="H125" s="47">
        <f>C125*G125</f>
        <v>3355000</v>
      </c>
    </row>
    <row r="126" spans="1:8" ht="16" customHeight="1">
      <c r="A126" s="27">
        <v>2</v>
      </c>
      <c r="B126" s="44" t="s">
        <v>292</v>
      </c>
      <c r="C126" s="29">
        <v>10</v>
      </c>
      <c r="D126" s="45" t="s">
        <v>174</v>
      </c>
      <c r="E126" s="31">
        <v>66000</v>
      </c>
      <c r="F126" s="32">
        <f t="shared" ref="F126:F133" si="12">C126*E126</f>
        <v>660000</v>
      </c>
      <c r="G126" s="32">
        <v>11000</v>
      </c>
      <c r="H126" s="33">
        <f t="shared" ref="H126:H134" si="13">C126*G126</f>
        <v>110000</v>
      </c>
    </row>
    <row r="127" spans="1:8" ht="16" customHeight="1">
      <c r="A127" s="27">
        <v>3</v>
      </c>
      <c r="B127" s="44" t="s">
        <v>293</v>
      </c>
      <c r="C127" s="29">
        <v>10</v>
      </c>
      <c r="D127" s="45" t="s">
        <v>174</v>
      </c>
      <c r="E127" s="31">
        <v>104500</v>
      </c>
      <c r="F127" s="32">
        <f t="shared" si="12"/>
        <v>1045000</v>
      </c>
      <c r="G127" s="32">
        <v>15400</v>
      </c>
      <c r="H127" s="33">
        <f t="shared" si="13"/>
        <v>154000</v>
      </c>
    </row>
    <row r="128" spans="1:8" ht="16" customHeight="1">
      <c r="A128" s="27">
        <v>4</v>
      </c>
      <c r="B128" s="44" t="s">
        <v>294</v>
      </c>
      <c r="C128" s="29">
        <v>10</v>
      </c>
      <c r="D128" s="45" t="s">
        <v>174</v>
      </c>
      <c r="E128" s="31">
        <v>495000</v>
      </c>
      <c r="F128" s="32">
        <f t="shared" si="12"/>
        <v>4950000</v>
      </c>
      <c r="G128" s="32">
        <v>66000</v>
      </c>
      <c r="H128" s="33">
        <f t="shared" si="13"/>
        <v>660000</v>
      </c>
    </row>
    <row r="129" spans="1:8" ht="16" customHeight="1">
      <c r="A129" s="27">
        <v>5</v>
      </c>
      <c r="B129" s="44" t="s">
        <v>295</v>
      </c>
      <c r="C129" s="29">
        <v>40</v>
      </c>
      <c r="D129" s="45" t="s">
        <v>174</v>
      </c>
      <c r="E129" s="31">
        <v>495000</v>
      </c>
      <c r="F129" s="32">
        <f t="shared" si="12"/>
        <v>19800000</v>
      </c>
      <c r="G129" s="32">
        <v>66000</v>
      </c>
      <c r="H129" s="33">
        <f t="shared" si="13"/>
        <v>2640000</v>
      </c>
    </row>
    <row r="130" spans="1:8" ht="16" customHeight="1">
      <c r="A130" s="27">
        <v>6</v>
      </c>
      <c r="B130" s="44" t="s">
        <v>296</v>
      </c>
      <c r="C130" s="29">
        <v>55</v>
      </c>
      <c r="D130" s="45" t="s">
        <v>174</v>
      </c>
      <c r="E130" s="31">
        <v>935000</v>
      </c>
      <c r="F130" s="32">
        <f t="shared" si="12"/>
        <v>51425000</v>
      </c>
      <c r="G130" s="32">
        <v>55000</v>
      </c>
      <c r="H130" s="33">
        <f t="shared" si="13"/>
        <v>3025000</v>
      </c>
    </row>
    <row r="131" spans="1:8" ht="16" customHeight="1">
      <c r="A131" s="27">
        <v>7</v>
      </c>
      <c r="B131" s="44" t="s">
        <v>297</v>
      </c>
      <c r="C131" s="29">
        <v>95</v>
      </c>
      <c r="D131" s="45" t="s">
        <v>174</v>
      </c>
      <c r="E131" s="31">
        <v>66000</v>
      </c>
      <c r="F131" s="32">
        <f t="shared" si="12"/>
        <v>6270000</v>
      </c>
      <c r="G131" s="32">
        <v>11000</v>
      </c>
      <c r="H131" s="33">
        <f t="shared" si="13"/>
        <v>1045000</v>
      </c>
    </row>
    <row r="132" spans="1:8" ht="16" customHeight="1">
      <c r="A132" s="27">
        <v>8</v>
      </c>
      <c r="B132" s="44" t="s">
        <v>298</v>
      </c>
      <c r="C132" s="29">
        <v>95</v>
      </c>
      <c r="D132" s="45" t="s">
        <v>174</v>
      </c>
      <c r="E132" s="31">
        <v>104500</v>
      </c>
      <c r="F132" s="32">
        <f t="shared" si="12"/>
        <v>9927500</v>
      </c>
      <c r="G132" s="32">
        <v>15400</v>
      </c>
      <c r="H132" s="33">
        <f t="shared" si="13"/>
        <v>1463000</v>
      </c>
    </row>
    <row r="133" spans="1:8" ht="16" customHeight="1">
      <c r="A133" s="27">
        <v>9</v>
      </c>
      <c r="B133" s="44" t="s">
        <v>299</v>
      </c>
      <c r="C133" s="29">
        <v>95</v>
      </c>
      <c r="D133" s="45" t="s">
        <v>174</v>
      </c>
      <c r="E133" s="31">
        <v>495000</v>
      </c>
      <c r="F133" s="80">
        <f t="shared" si="12"/>
        <v>47025000</v>
      </c>
      <c r="G133" s="32">
        <v>66000</v>
      </c>
      <c r="H133" s="33">
        <f t="shared" si="13"/>
        <v>6270000</v>
      </c>
    </row>
    <row r="134" spans="1:8" ht="16" customHeight="1" thickBot="1">
      <c r="A134" s="27">
        <v>10</v>
      </c>
      <c r="B134" s="44" t="s">
        <v>169</v>
      </c>
      <c r="C134" s="29">
        <v>1</v>
      </c>
      <c r="D134" s="45" t="s">
        <v>164</v>
      </c>
      <c r="E134" s="57"/>
      <c r="F134" s="45"/>
      <c r="G134" s="33"/>
      <c r="H134" s="33">
        <f t="shared" si="13"/>
        <v>0</v>
      </c>
    </row>
    <row r="135" spans="1:8" ht="16" customHeight="1" thickBot="1">
      <c r="A135" s="36"/>
      <c r="B135" s="37"/>
      <c r="C135" s="38"/>
      <c r="D135" s="38"/>
      <c r="E135" s="39" t="s">
        <v>300</v>
      </c>
      <c r="F135" s="40">
        <f>SUM(F125:F134)</f>
        <v>261882500</v>
      </c>
      <c r="G135" s="38" t="s">
        <v>301</v>
      </c>
      <c r="H135" s="41">
        <f>SUM(H125:H134)</f>
        <v>18722000</v>
      </c>
    </row>
    <row r="136" spans="1:8" ht="16" customHeight="1">
      <c r="A136" s="50" t="s">
        <v>251</v>
      </c>
      <c r="B136" s="51" t="s">
        <v>302</v>
      </c>
      <c r="C136" s="43"/>
      <c r="D136" s="43"/>
      <c r="E136" s="46"/>
      <c r="F136" s="43"/>
      <c r="G136" s="26"/>
      <c r="H136" s="26"/>
    </row>
    <row r="137" spans="1:8" ht="16" customHeight="1">
      <c r="A137" s="27">
        <v>1</v>
      </c>
      <c r="B137" s="44" t="s">
        <v>303</v>
      </c>
      <c r="C137" s="29">
        <v>169</v>
      </c>
      <c r="D137" s="45" t="s">
        <v>94</v>
      </c>
      <c r="E137" s="31">
        <v>825000</v>
      </c>
      <c r="F137" s="47">
        <f>C137*E137</f>
        <v>139425000</v>
      </c>
      <c r="G137" s="33">
        <v>29700</v>
      </c>
      <c r="H137" s="33">
        <f t="shared" ref="H137:H158" si="14">C137*G137</f>
        <v>5019300</v>
      </c>
    </row>
    <row r="138" spans="1:8" ht="30" customHeight="1">
      <c r="A138" s="27">
        <v>2</v>
      </c>
      <c r="B138" s="44" t="s">
        <v>304</v>
      </c>
      <c r="C138" s="29">
        <v>22</v>
      </c>
      <c r="D138" s="45" t="s">
        <v>94</v>
      </c>
      <c r="E138" s="31">
        <v>1125000</v>
      </c>
      <c r="F138" s="47">
        <f t="shared" ref="F138:F158" si="15">C138*E138</f>
        <v>24750000</v>
      </c>
      <c r="G138" s="33">
        <v>29700</v>
      </c>
      <c r="H138" s="33">
        <f t="shared" si="14"/>
        <v>653400</v>
      </c>
    </row>
    <row r="139" spans="1:8" ht="16" customHeight="1">
      <c r="A139" s="27">
        <v>3</v>
      </c>
      <c r="B139" s="44" t="s">
        <v>305</v>
      </c>
      <c r="C139" s="29">
        <v>10</v>
      </c>
      <c r="D139" s="45" t="s">
        <v>94</v>
      </c>
      <c r="E139" s="31"/>
      <c r="F139" s="47">
        <f t="shared" si="15"/>
        <v>0</v>
      </c>
      <c r="G139" s="33">
        <v>29700</v>
      </c>
      <c r="H139" s="33">
        <f t="shared" si="14"/>
        <v>297000</v>
      </c>
    </row>
    <row r="140" spans="1:8" ht="16" customHeight="1">
      <c r="A140" s="27">
        <v>4</v>
      </c>
      <c r="B140" s="44" t="s">
        <v>306</v>
      </c>
      <c r="C140" s="29">
        <v>217</v>
      </c>
      <c r="D140" s="45" t="s">
        <v>94</v>
      </c>
      <c r="E140" s="31">
        <v>148500</v>
      </c>
      <c r="F140" s="47">
        <f t="shared" si="15"/>
        <v>32224500</v>
      </c>
      <c r="G140" s="33">
        <v>29700</v>
      </c>
      <c r="H140" s="33">
        <f t="shared" si="14"/>
        <v>6444900</v>
      </c>
    </row>
    <row r="141" spans="1:8" ht="16" customHeight="1">
      <c r="A141" s="27">
        <v>5</v>
      </c>
      <c r="B141" s="44" t="s">
        <v>307</v>
      </c>
      <c r="C141" s="29">
        <v>33</v>
      </c>
      <c r="D141" s="45" t="s">
        <v>94</v>
      </c>
      <c r="E141" s="31">
        <v>533500</v>
      </c>
      <c r="F141" s="47">
        <f t="shared" si="15"/>
        <v>17605500</v>
      </c>
      <c r="G141" s="33">
        <v>33000</v>
      </c>
      <c r="H141" s="33">
        <f t="shared" si="14"/>
        <v>1089000</v>
      </c>
    </row>
    <row r="142" spans="1:8" ht="16" customHeight="1">
      <c r="A142" s="27">
        <v>6</v>
      </c>
      <c r="B142" s="44" t="s">
        <v>308</v>
      </c>
      <c r="C142" s="29">
        <v>21</v>
      </c>
      <c r="D142" s="45" t="s">
        <v>94</v>
      </c>
      <c r="E142" s="31">
        <v>308000</v>
      </c>
      <c r="F142" s="47">
        <f t="shared" si="15"/>
        <v>6468000</v>
      </c>
      <c r="G142" s="33">
        <v>29700</v>
      </c>
      <c r="H142" s="33">
        <f t="shared" si="14"/>
        <v>623700</v>
      </c>
    </row>
    <row r="143" spans="1:8" ht="16" customHeight="1">
      <c r="A143" s="27">
        <v>7</v>
      </c>
      <c r="B143" s="44" t="s">
        <v>309</v>
      </c>
      <c r="C143" s="29">
        <v>5</v>
      </c>
      <c r="D143" s="45" t="s">
        <v>94</v>
      </c>
      <c r="E143" s="31">
        <v>723800</v>
      </c>
      <c r="F143" s="47">
        <f t="shared" si="15"/>
        <v>3619000</v>
      </c>
      <c r="G143" s="33">
        <v>33000</v>
      </c>
      <c r="H143" s="33">
        <f t="shared" si="14"/>
        <v>165000</v>
      </c>
    </row>
    <row r="144" spans="1:8" ht="16" customHeight="1">
      <c r="A144" s="27">
        <v>8</v>
      </c>
      <c r="B144" s="44" t="s">
        <v>310</v>
      </c>
      <c r="C144" s="29">
        <v>6</v>
      </c>
      <c r="D144" s="45" t="s">
        <v>94</v>
      </c>
      <c r="E144" s="31">
        <v>181500</v>
      </c>
      <c r="F144" s="47">
        <f t="shared" si="15"/>
        <v>1089000</v>
      </c>
      <c r="G144" s="33">
        <v>29700</v>
      </c>
      <c r="H144" s="33">
        <f t="shared" si="14"/>
        <v>178200</v>
      </c>
    </row>
    <row r="145" spans="1:8" ht="16" customHeight="1">
      <c r="A145" s="27">
        <v>9</v>
      </c>
      <c r="B145" s="44" t="s">
        <v>311</v>
      </c>
      <c r="C145" s="29">
        <v>4</v>
      </c>
      <c r="D145" s="45" t="s">
        <v>94</v>
      </c>
      <c r="E145" s="31">
        <v>584650</v>
      </c>
      <c r="F145" s="47">
        <f t="shared" si="15"/>
        <v>2338600</v>
      </c>
      <c r="G145" s="33">
        <v>33000</v>
      </c>
      <c r="H145" s="33">
        <f t="shared" si="14"/>
        <v>132000</v>
      </c>
    </row>
    <row r="146" spans="1:8" ht="16" customHeight="1">
      <c r="A146" s="27">
        <v>10</v>
      </c>
      <c r="B146" s="44" t="s">
        <v>312</v>
      </c>
      <c r="C146" s="29">
        <v>10</v>
      </c>
      <c r="D146" s="45" t="s">
        <v>94</v>
      </c>
      <c r="E146" s="31">
        <v>550000</v>
      </c>
      <c r="F146" s="47">
        <f t="shared" si="15"/>
        <v>5500000</v>
      </c>
      <c r="G146" s="33">
        <v>33000</v>
      </c>
      <c r="H146" s="33">
        <f t="shared" si="14"/>
        <v>330000</v>
      </c>
    </row>
    <row r="147" spans="1:8" ht="16" customHeight="1">
      <c r="A147" s="27">
        <v>11</v>
      </c>
      <c r="B147" s="44" t="s">
        <v>313</v>
      </c>
      <c r="C147" s="29">
        <v>2</v>
      </c>
      <c r="D147" s="45" t="s">
        <v>94</v>
      </c>
      <c r="E147" s="31">
        <v>214500</v>
      </c>
      <c r="F147" s="47">
        <f t="shared" si="15"/>
        <v>429000</v>
      </c>
      <c r="G147" s="33">
        <v>29700</v>
      </c>
      <c r="H147" s="33">
        <f t="shared" si="14"/>
        <v>59400</v>
      </c>
    </row>
    <row r="148" spans="1:8" ht="16" customHeight="1">
      <c r="A148" s="27">
        <v>12</v>
      </c>
      <c r="B148" s="44" t="s">
        <v>314</v>
      </c>
      <c r="C148" s="29">
        <v>8</v>
      </c>
      <c r="D148" s="45" t="s">
        <v>94</v>
      </c>
      <c r="E148" s="31">
        <v>660000</v>
      </c>
      <c r="F148" s="47">
        <f>C148*E148</f>
        <v>5280000</v>
      </c>
      <c r="G148" s="33">
        <v>29700</v>
      </c>
      <c r="H148" s="33">
        <f t="shared" si="14"/>
        <v>237600</v>
      </c>
    </row>
    <row r="149" spans="1:8" ht="16" customHeight="1">
      <c r="A149" s="27">
        <v>13</v>
      </c>
      <c r="B149" s="44" t="s">
        <v>315</v>
      </c>
      <c r="C149" s="29">
        <v>5</v>
      </c>
      <c r="D149" s="45" t="s">
        <v>94</v>
      </c>
      <c r="E149" s="31">
        <v>1320000</v>
      </c>
      <c r="F149" s="47">
        <f>C149*E149</f>
        <v>6600000</v>
      </c>
      <c r="G149" s="33">
        <v>29700</v>
      </c>
      <c r="H149" s="33">
        <f t="shared" si="14"/>
        <v>148500</v>
      </c>
    </row>
    <row r="150" spans="1:8" ht="16" customHeight="1">
      <c r="A150" s="27">
        <v>14</v>
      </c>
      <c r="B150" s="44" t="s">
        <v>316</v>
      </c>
      <c r="C150" s="29">
        <v>2</v>
      </c>
      <c r="D150" s="45" t="s">
        <v>94</v>
      </c>
      <c r="E150" s="31">
        <v>33000000</v>
      </c>
      <c r="F150" s="47">
        <f t="shared" si="15"/>
        <v>66000000</v>
      </c>
      <c r="G150" s="33">
        <v>1100000</v>
      </c>
      <c r="H150" s="33">
        <f t="shared" si="14"/>
        <v>2200000</v>
      </c>
    </row>
    <row r="151" spans="1:8" ht="16" customHeight="1">
      <c r="A151" s="27">
        <v>15</v>
      </c>
      <c r="B151" s="44" t="s">
        <v>317</v>
      </c>
      <c r="C151" s="29">
        <v>38</v>
      </c>
      <c r="D151" s="45" t="s">
        <v>94</v>
      </c>
      <c r="E151" s="31">
        <v>25300</v>
      </c>
      <c r="F151" s="47">
        <f t="shared" si="15"/>
        <v>961400</v>
      </c>
      <c r="G151" s="33">
        <v>29700</v>
      </c>
      <c r="H151" s="33">
        <f t="shared" si="14"/>
        <v>1128600</v>
      </c>
    </row>
    <row r="152" spans="1:8" ht="16" customHeight="1">
      <c r="A152" s="27">
        <v>16</v>
      </c>
      <c r="B152" s="81" t="s">
        <v>318</v>
      </c>
      <c r="C152" s="29">
        <v>96</v>
      </c>
      <c r="D152" s="45" t="s">
        <v>94</v>
      </c>
      <c r="E152" s="31">
        <v>36300</v>
      </c>
      <c r="F152" s="47">
        <f t="shared" si="15"/>
        <v>3484800</v>
      </c>
      <c r="G152" s="33">
        <v>29700</v>
      </c>
      <c r="H152" s="33">
        <f t="shared" si="14"/>
        <v>2851200</v>
      </c>
    </row>
    <row r="153" spans="1:8" ht="16" customHeight="1">
      <c r="A153" s="27">
        <v>17</v>
      </c>
      <c r="B153" s="81" t="s">
        <v>319</v>
      </c>
      <c r="C153" s="29">
        <v>10</v>
      </c>
      <c r="D153" s="45" t="s">
        <v>94</v>
      </c>
      <c r="E153" s="31">
        <v>36300</v>
      </c>
      <c r="F153" s="47">
        <f t="shared" si="15"/>
        <v>363000</v>
      </c>
      <c r="G153" s="33">
        <v>29700</v>
      </c>
      <c r="H153" s="33">
        <f t="shared" si="14"/>
        <v>297000</v>
      </c>
    </row>
    <row r="154" spans="1:8" ht="16" customHeight="1">
      <c r="A154" s="27">
        <v>18</v>
      </c>
      <c r="B154" s="81" t="s">
        <v>320</v>
      </c>
      <c r="C154" s="29">
        <v>220</v>
      </c>
      <c r="D154" s="45" t="s">
        <v>94</v>
      </c>
      <c r="E154" s="31">
        <v>63800</v>
      </c>
      <c r="F154" s="47">
        <f t="shared" si="15"/>
        <v>14036000</v>
      </c>
      <c r="G154" s="33">
        <v>29700</v>
      </c>
      <c r="H154" s="33">
        <f t="shared" si="14"/>
        <v>6534000</v>
      </c>
    </row>
    <row r="155" spans="1:8" ht="16" customHeight="1">
      <c r="A155" s="27">
        <v>19</v>
      </c>
      <c r="B155" s="81" t="s">
        <v>321</v>
      </c>
      <c r="C155" s="29">
        <v>17</v>
      </c>
      <c r="D155" s="45" t="s">
        <v>94</v>
      </c>
      <c r="E155" s="31">
        <v>63800</v>
      </c>
      <c r="F155" s="47">
        <f t="shared" si="15"/>
        <v>1084600</v>
      </c>
      <c r="G155" s="33">
        <v>29700</v>
      </c>
      <c r="H155" s="33">
        <f t="shared" si="14"/>
        <v>504900</v>
      </c>
    </row>
    <row r="156" spans="1:8" ht="16" customHeight="1">
      <c r="A156" s="27">
        <v>20</v>
      </c>
      <c r="B156" s="81" t="s">
        <v>322</v>
      </c>
      <c r="C156" s="29">
        <v>5</v>
      </c>
      <c r="D156" s="45" t="s">
        <v>94</v>
      </c>
      <c r="E156" s="31">
        <v>770000</v>
      </c>
      <c r="F156" s="47">
        <f t="shared" si="15"/>
        <v>3850000</v>
      </c>
      <c r="G156" s="33">
        <v>29700</v>
      </c>
      <c r="H156" s="33">
        <f t="shared" si="14"/>
        <v>148500</v>
      </c>
    </row>
    <row r="157" spans="1:8" ht="16" customHeight="1">
      <c r="A157" s="27">
        <v>21</v>
      </c>
      <c r="B157" s="81" t="s">
        <v>323</v>
      </c>
      <c r="C157" s="29">
        <v>514</v>
      </c>
      <c r="D157" s="45" t="s">
        <v>216</v>
      </c>
      <c r="E157" s="31">
        <v>242000</v>
      </c>
      <c r="F157" s="47">
        <f t="shared" si="15"/>
        <v>124388000</v>
      </c>
      <c r="G157" s="33">
        <v>66000</v>
      </c>
      <c r="H157" s="33">
        <f t="shared" si="14"/>
        <v>33924000</v>
      </c>
    </row>
    <row r="158" spans="1:8" ht="16" customHeight="1" thickBot="1">
      <c r="A158" s="27">
        <v>22</v>
      </c>
      <c r="B158" s="81" t="s">
        <v>324</v>
      </c>
      <c r="C158" s="29">
        <v>242</v>
      </c>
      <c r="D158" s="45" t="s">
        <v>216</v>
      </c>
      <c r="E158" s="31">
        <v>242000</v>
      </c>
      <c r="F158" s="47">
        <f t="shared" si="15"/>
        <v>58564000</v>
      </c>
      <c r="G158" s="33">
        <v>66000</v>
      </c>
      <c r="H158" s="33">
        <f t="shared" si="14"/>
        <v>15972000</v>
      </c>
    </row>
    <row r="159" spans="1:8" ht="16" customHeight="1" thickBot="1">
      <c r="A159" s="36"/>
      <c r="B159" s="37"/>
      <c r="C159" s="38"/>
      <c r="D159" s="38"/>
      <c r="E159" s="39" t="s">
        <v>325</v>
      </c>
      <c r="F159" s="40">
        <f>SUM(F137:F158)</f>
        <v>518060400</v>
      </c>
      <c r="G159" s="38" t="s">
        <v>326</v>
      </c>
      <c r="H159" s="41">
        <f>SUM(H137:H158)</f>
        <v>78938200</v>
      </c>
    </row>
    <row r="160" spans="1:8" ht="16" customHeight="1">
      <c r="A160" s="43"/>
      <c r="B160" s="82"/>
      <c r="C160" s="802"/>
      <c r="D160" s="803"/>
      <c r="E160" s="803"/>
      <c r="F160" s="803"/>
      <c r="G160" s="804"/>
      <c r="H160" s="16"/>
    </row>
    <row r="161" spans="1:8" ht="16" customHeight="1">
      <c r="A161" s="50" t="s">
        <v>30</v>
      </c>
      <c r="B161" s="83" t="s">
        <v>327</v>
      </c>
      <c r="C161" s="43"/>
      <c r="D161" s="43"/>
      <c r="E161" s="46"/>
      <c r="F161" s="43"/>
      <c r="G161" s="26"/>
      <c r="H161" s="26"/>
    </row>
    <row r="162" spans="1:8" ht="16" customHeight="1">
      <c r="A162" s="50" t="s">
        <v>31</v>
      </c>
      <c r="B162" s="83" t="s">
        <v>328</v>
      </c>
      <c r="C162" s="43"/>
      <c r="D162" s="43"/>
      <c r="E162" s="31"/>
      <c r="F162" s="43"/>
      <c r="G162" s="26"/>
      <c r="H162" s="26"/>
    </row>
    <row r="163" spans="1:8" ht="16" customHeight="1">
      <c r="A163" s="27">
        <v>1</v>
      </c>
      <c r="B163" s="81" t="s">
        <v>329</v>
      </c>
      <c r="C163" s="29">
        <v>47</v>
      </c>
      <c r="D163" s="45" t="s">
        <v>93</v>
      </c>
      <c r="E163" s="31">
        <v>60500</v>
      </c>
      <c r="F163" s="48">
        <f>C163*E163</f>
        <v>2843500</v>
      </c>
      <c r="G163" s="33">
        <v>38500</v>
      </c>
      <c r="H163" s="33">
        <f>C163*G163</f>
        <v>1809500</v>
      </c>
    </row>
    <row r="164" spans="1:8" ht="16" customHeight="1" thickBot="1">
      <c r="A164" s="59">
        <v>2</v>
      </c>
      <c r="B164" s="84" t="s">
        <v>330</v>
      </c>
      <c r="C164" s="61">
        <v>127</v>
      </c>
      <c r="D164" s="62" t="s">
        <v>93</v>
      </c>
      <c r="E164" s="85">
        <v>60500</v>
      </c>
      <c r="F164" s="64">
        <f>C164*E164</f>
        <v>7683500</v>
      </c>
      <c r="G164" s="65">
        <v>38500</v>
      </c>
      <c r="H164" s="65">
        <f>C164*G164</f>
        <v>4889500</v>
      </c>
    </row>
    <row r="165" spans="1:8" ht="16" customHeight="1" thickBot="1">
      <c r="A165" s="66"/>
      <c r="B165" s="37"/>
      <c r="C165" s="38"/>
      <c r="D165" s="38"/>
      <c r="E165" s="39" t="s">
        <v>331</v>
      </c>
      <c r="F165" s="40">
        <f>SUM(F143:F164)</f>
        <v>826174800</v>
      </c>
      <c r="G165" s="38" t="s">
        <v>332</v>
      </c>
      <c r="H165" s="41">
        <f>SUM(H163:H164)</f>
        <v>6699000</v>
      </c>
    </row>
    <row r="166" spans="1:8" ht="16" customHeight="1">
      <c r="A166" s="68" t="s">
        <v>237</v>
      </c>
      <c r="B166" s="86" t="s">
        <v>302</v>
      </c>
      <c r="C166" s="77"/>
      <c r="D166" s="77"/>
      <c r="E166" s="87"/>
      <c r="F166" s="88"/>
      <c r="G166" s="21"/>
      <c r="H166" s="21"/>
    </row>
    <row r="167" spans="1:8" ht="16" customHeight="1">
      <c r="A167" s="27">
        <v>1</v>
      </c>
      <c r="B167" s="81" t="s">
        <v>333</v>
      </c>
      <c r="C167" s="29">
        <v>2</v>
      </c>
      <c r="D167" s="45" t="s">
        <v>55</v>
      </c>
      <c r="E167" s="31">
        <v>1045000</v>
      </c>
      <c r="F167" s="47">
        <f>C167*E167</f>
        <v>2090000</v>
      </c>
      <c r="G167" s="33">
        <v>121000</v>
      </c>
      <c r="H167" s="33">
        <f>C167*G167</f>
        <v>242000</v>
      </c>
    </row>
    <row r="168" spans="1:8" ht="16" customHeight="1">
      <c r="A168" s="27">
        <v>2</v>
      </c>
      <c r="B168" s="81" t="s">
        <v>334</v>
      </c>
      <c r="C168" s="29">
        <v>14</v>
      </c>
      <c r="D168" s="45" t="s">
        <v>94</v>
      </c>
      <c r="E168" s="31">
        <v>82500</v>
      </c>
      <c r="F168" s="47">
        <f>C168*E168</f>
        <v>1155000</v>
      </c>
      <c r="G168" s="33">
        <v>36300</v>
      </c>
      <c r="H168" s="33">
        <f>C168*G168</f>
        <v>508200</v>
      </c>
    </row>
    <row r="169" spans="1:8" ht="16" customHeight="1">
      <c r="A169" s="27">
        <v>3</v>
      </c>
      <c r="B169" s="81" t="s">
        <v>335</v>
      </c>
      <c r="C169" s="29">
        <v>14</v>
      </c>
      <c r="D169" s="45" t="s">
        <v>94</v>
      </c>
      <c r="E169" s="31">
        <v>1320000</v>
      </c>
      <c r="F169" s="47">
        <f>C169*E169</f>
        <v>18480000</v>
      </c>
      <c r="G169" s="33">
        <v>55000</v>
      </c>
      <c r="H169" s="33">
        <f>C169*G169</f>
        <v>770000</v>
      </c>
    </row>
    <row r="170" spans="1:8" ht="16" customHeight="1">
      <c r="A170" s="27">
        <v>4</v>
      </c>
      <c r="B170" s="81" t="s">
        <v>336</v>
      </c>
      <c r="C170" s="29">
        <v>14</v>
      </c>
      <c r="D170" s="45" t="s">
        <v>216</v>
      </c>
      <c r="E170" s="31">
        <v>251900</v>
      </c>
      <c r="F170" s="47">
        <f>C170*E170</f>
        <v>3526600</v>
      </c>
      <c r="G170" s="33">
        <v>143000</v>
      </c>
      <c r="H170" s="33">
        <f>C170*G170</f>
        <v>2002000</v>
      </c>
    </row>
    <row r="171" spans="1:8" ht="16" customHeight="1" thickBot="1">
      <c r="A171" s="27">
        <v>5</v>
      </c>
      <c r="B171" s="81" t="s">
        <v>337</v>
      </c>
      <c r="C171" s="29">
        <v>1</v>
      </c>
      <c r="D171" s="45" t="s">
        <v>338</v>
      </c>
      <c r="E171" s="31">
        <v>3787740</v>
      </c>
      <c r="F171" s="47">
        <f>C171*E171</f>
        <v>3787740</v>
      </c>
      <c r="G171" s="33"/>
      <c r="H171" s="33">
        <f>C171*G171</f>
        <v>0</v>
      </c>
    </row>
    <row r="172" spans="1:8" ht="16" customHeight="1" thickBot="1">
      <c r="A172" s="66"/>
      <c r="B172" s="37"/>
      <c r="C172" s="38"/>
      <c r="D172" s="38"/>
      <c r="E172" s="39" t="s">
        <v>339</v>
      </c>
      <c r="F172" s="40">
        <f>SUM(F167:F171)</f>
        <v>29039340</v>
      </c>
      <c r="G172" s="38" t="s">
        <v>340</v>
      </c>
      <c r="H172" s="41">
        <f>SUM(H167:H171)</f>
        <v>3522200</v>
      </c>
    </row>
    <row r="173" spans="1:8" ht="16" customHeight="1">
      <c r="A173" s="43"/>
      <c r="B173" s="82"/>
      <c r="C173" s="802"/>
      <c r="D173" s="803"/>
      <c r="E173" s="803"/>
      <c r="F173" s="803"/>
      <c r="G173" s="804"/>
      <c r="H173" s="16"/>
    </row>
    <row r="174" spans="1:8" ht="16" customHeight="1">
      <c r="A174" s="50" t="s">
        <v>341</v>
      </c>
      <c r="B174" s="83" t="s">
        <v>342</v>
      </c>
      <c r="C174" s="43"/>
      <c r="D174" s="43"/>
      <c r="E174" s="46"/>
      <c r="F174" s="43"/>
      <c r="G174" s="26"/>
      <c r="H174" s="26"/>
    </row>
    <row r="175" spans="1:8" ht="16" customHeight="1">
      <c r="A175" s="50" t="s">
        <v>31</v>
      </c>
      <c r="B175" s="83" t="s">
        <v>343</v>
      </c>
      <c r="C175" s="43"/>
      <c r="D175" s="43"/>
      <c r="E175" s="31"/>
      <c r="F175" s="47"/>
      <c r="G175" s="26"/>
      <c r="H175" s="26"/>
    </row>
    <row r="176" spans="1:8" ht="16" customHeight="1">
      <c r="A176" s="27">
        <v>1</v>
      </c>
      <c r="B176" s="81" t="s">
        <v>344</v>
      </c>
      <c r="C176" s="29">
        <v>2</v>
      </c>
      <c r="D176" s="45" t="s">
        <v>55</v>
      </c>
      <c r="E176" s="31">
        <v>11000000</v>
      </c>
      <c r="F176" s="47">
        <f>C176*E176</f>
        <v>22000000</v>
      </c>
      <c r="G176" s="33">
        <v>220000</v>
      </c>
      <c r="H176" s="33">
        <f t="shared" ref="H176:H183" si="16">C176*G176</f>
        <v>440000</v>
      </c>
    </row>
    <row r="177" spans="1:8" ht="16" customHeight="1">
      <c r="A177" s="43"/>
      <c r="B177" s="81" t="s">
        <v>345</v>
      </c>
      <c r="C177" s="29">
        <v>1</v>
      </c>
      <c r="D177" s="45" t="s">
        <v>55</v>
      </c>
      <c r="E177" s="31">
        <v>49500000</v>
      </c>
      <c r="F177" s="47">
        <f>C177*E177</f>
        <v>49500000</v>
      </c>
      <c r="G177" s="33">
        <v>220000</v>
      </c>
      <c r="H177" s="33">
        <f t="shared" si="16"/>
        <v>220000</v>
      </c>
    </row>
    <row r="178" spans="1:8" ht="16" customHeight="1">
      <c r="A178" s="43"/>
      <c r="B178" s="81" t="s">
        <v>346</v>
      </c>
      <c r="C178" s="43"/>
      <c r="D178" s="43"/>
      <c r="E178" s="31"/>
      <c r="F178" s="47"/>
      <c r="G178" s="33"/>
      <c r="H178" s="33">
        <f t="shared" si="16"/>
        <v>0</v>
      </c>
    </row>
    <row r="179" spans="1:8" ht="16" customHeight="1">
      <c r="A179" s="43"/>
      <c r="B179" s="81" t="s">
        <v>347</v>
      </c>
      <c r="C179" s="43"/>
      <c r="D179" s="43"/>
      <c r="E179" s="31"/>
      <c r="F179" s="47"/>
      <c r="G179" s="33"/>
      <c r="H179" s="33">
        <f t="shared" si="16"/>
        <v>0</v>
      </c>
    </row>
    <row r="180" spans="1:8" ht="16" customHeight="1">
      <c r="A180" s="27">
        <v>2</v>
      </c>
      <c r="B180" s="81" t="s">
        <v>348</v>
      </c>
      <c r="C180" s="29">
        <v>2</v>
      </c>
      <c r="D180" s="45" t="s">
        <v>55</v>
      </c>
      <c r="E180" s="31">
        <v>6050000</v>
      </c>
      <c r="F180" s="47">
        <f>C180*E180</f>
        <v>12100000</v>
      </c>
      <c r="G180" s="33">
        <v>385000</v>
      </c>
      <c r="H180" s="33">
        <f t="shared" si="16"/>
        <v>770000</v>
      </c>
    </row>
    <row r="181" spans="1:8" ht="16" customHeight="1">
      <c r="A181" s="27">
        <v>3</v>
      </c>
      <c r="B181" s="81" t="s">
        <v>328</v>
      </c>
      <c r="C181" s="43"/>
      <c r="D181" s="43"/>
      <c r="E181" s="31"/>
      <c r="F181" s="47"/>
      <c r="G181" s="33"/>
      <c r="H181" s="33">
        <f t="shared" si="16"/>
        <v>0</v>
      </c>
    </row>
    <row r="182" spans="1:8" ht="16" customHeight="1">
      <c r="A182" s="43"/>
      <c r="B182" s="81" t="s">
        <v>349</v>
      </c>
      <c r="C182" s="29">
        <v>54</v>
      </c>
      <c r="D182" s="45" t="s">
        <v>93</v>
      </c>
      <c r="E182" s="31">
        <v>33000</v>
      </c>
      <c r="F182" s="48">
        <f>C182*E182</f>
        <v>1782000</v>
      </c>
      <c r="G182" s="33">
        <v>22000</v>
      </c>
      <c r="H182" s="33">
        <f t="shared" si="16"/>
        <v>1188000</v>
      </c>
    </row>
    <row r="183" spans="1:8" ht="16" customHeight="1" thickBot="1">
      <c r="A183" s="43"/>
      <c r="B183" s="81" t="s">
        <v>350</v>
      </c>
      <c r="C183" s="29">
        <v>134</v>
      </c>
      <c r="D183" s="45" t="s">
        <v>93</v>
      </c>
      <c r="E183" s="31">
        <v>33000</v>
      </c>
      <c r="F183" s="48">
        <f>C183*E183</f>
        <v>4422000</v>
      </c>
      <c r="G183" s="33">
        <v>22000</v>
      </c>
      <c r="H183" s="33">
        <f t="shared" si="16"/>
        <v>2948000</v>
      </c>
    </row>
    <row r="184" spans="1:8" ht="16" customHeight="1" thickBot="1">
      <c r="A184" s="66"/>
      <c r="B184" s="37"/>
      <c r="C184" s="38"/>
      <c r="D184" s="38"/>
      <c r="E184" s="39" t="s">
        <v>351</v>
      </c>
      <c r="F184" s="40">
        <f>SUM(F176:F183)</f>
        <v>89804000</v>
      </c>
      <c r="G184" s="38" t="s">
        <v>352</v>
      </c>
      <c r="H184" s="41">
        <f>SUM(H175:H183)</f>
        <v>5566000</v>
      </c>
    </row>
    <row r="185" spans="1:8" ht="16" customHeight="1">
      <c r="A185" s="50" t="s">
        <v>237</v>
      </c>
      <c r="B185" s="83" t="s">
        <v>302</v>
      </c>
      <c r="C185" s="43"/>
      <c r="D185" s="43"/>
      <c r="E185" s="46"/>
      <c r="F185" s="43"/>
      <c r="G185" s="26"/>
      <c r="H185" s="26"/>
    </row>
    <row r="186" spans="1:8" ht="16" customHeight="1">
      <c r="A186" s="27">
        <v>1</v>
      </c>
      <c r="B186" s="81" t="s">
        <v>353</v>
      </c>
      <c r="C186" s="29">
        <v>66</v>
      </c>
      <c r="D186" s="45" t="s">
        <v>216</v>
      </c>
      <c r="E186" s="31">
        <v>390500</v>
      </c>
      <c r="F186" s="47">
        <f>C186*E186</f>
        <v>25773000</v>
      </c>
      <c r="G186" s="33">
        <v>121000</v>
      </c>
      <c r="H186" s="33">
        <f>C186*G186</f>
        <v>7986000</v>
      </c>
    </row>
    <row r="187" spans="1:8" ht="16" customHeight="1">
      <c r="A187" s="27">
        <v>2</v>
      </c>
      <c r="B187" s="81" t="s">
        <v>354</v>
      </c>
      <c r="C187" s="29">
        <v>15</v>
      </c>
      <c r="D187" s="45" t="s">
        <v>216</v>
      </c>
      <c r="E187" s="31">
        <v>390500</v>
      </c>
      <c r="F187" s="47">
        <f>C187*E187</f>
        <v>5857500</v>
      </c>
      <c r="G187" s="33">
        <v>121000</v>
      </c>
      <c r="H187" s="33">
        <f>C187*G187</f>
        <v>1815000</v>
      </c>
    </row>
    <row r="188" spans="1:8" ht="16" customHeight="1">
      <c r="A188" s="27">
        <v>3</v>
      </c>
      <c r="B188" s="81" t="s">
        <v>355</v>
      </c>
      <c r="C188" s="29">
        <v>63</v>
      </c>
      <c r="D188" s="45" t="s">
        <v>216</v>
      </c>
      <c r="E188" s="31">
        <v>330000</v>
      </c>
      <c r="F188" s="47">
        <f>C188*E188</f>
        <v>20790000</v>
      </c>
      <c r="G188" s="33">
        <v>121000</v>
      </c>
      <c r="H188" s="33">
        <f>C188*G188</f>
        <v>7623000</v>
      </c>
    </row>
    <row r="189" spans="1:8" ht="16" customHeight="1">
      <c r="A189" s="27">
        <v>4</v>
      </c>
      <c r="B189" s="81" t="s">
        <v>356</v>
      </c>
      <c r="C189" s="29">
        <v>3</v>
      </c>
      <c r="D189" s="45" t="s">
        <v>216</v>
      </c>
      <c r="E189" s="31">
        <v>330000</v>
      </c>
      <c r="F189" s="47">
        <f>C189*E189</f>
        <v>990000</v>
      </c>
      <c r="G189" s="33">
        <v>121000</v>
      </c>
      <c r="H189" s="33">
        <f>C189*G189</f>
        <v>363000</v>
      </c>
    </row>
    <row r="190" spans="1:8" ht="16" customHeight="1" thickBot="1">
      <c r="A190" s="27">
        <v>5</v>
      </c>
      <c r="B190" s="81" t="s">
        <v>337</v>
      </c>
      <c r="C190" s="29">
        <v>1</v>
      </c>
      <c r="D190" s="45" t="s">
        <v>338</v>
      </c>
      <c r="E190" s="49">
        <v>5341050</v>
      </c>
      <c r="F190" s="47">
        <f>C190*E190</f>
        <v>5341050</v>
      </c>
      <c r="G190" s="33"/>
      <c r="H190" s="33">
        <f>C190*G190</f>
        <v>0</v>
      </c>
    </row>
    <row r="191" spans="1:8" ht="16" customHeight="1" thickBot="1">
      <c r="A191" s="66"/>
      <c r="B191" s="37"/>
      <c r="C191" s="38"/>
      <c r="D191" s="38"/>
      <c r="E191" s="39" t="s">
        <v>357</v>
      </c>
      <c r="F191" s="40">
        <f>SUM(F186:F190)</f>
        <v>58751550</v>
      </c>
      <c r="G191" s="38" t="s">
        <v>358</v>
      </c>
      <c r="H191" s="41">
        <f>SUM(H186:H190)</f>
        <v>17787000</v>
      </c>
    </row>
    <row r="192" spans="1:8" ht="16" customHeight="1">
      <c r="A192" s="43"/>
      <c r="B192" s="82"/>
      <c r="C192" s="802"/>
      <c r="D192" s="803"/>
      <c r="E192" s="803"/>
      <c r="F192" s="803"/>
      <c r="G192" s="804"/>
      <c r="H192" s="16"/>
    </row>
    <row r="193" spans="1:8" ht="16" customHeight="1">
      <c r="A193" s="50" t="s">
        <v>31</v>
      </c>
      <c r="B193" s="83" t="s">
        <v>359</v>
      </c>
      <c r="C193" s="43"/>
      <c r="D193" s="43"/>
      <c r="E193" s="46"/>
      <c r="F193" s="43"/>
      <c r="G193" s="26"/>
      <c r="H193" s="26"/>
    </row>
    <row r="194" spans="1:8" ht="16" customHeight="1">
      <c r="A194" s="50" t="s">
        <v>31</v>
      </c>
      <c r="B194" s="83" t="s">
        <v>328</v>
      </c>
      <c r="C194" s="43"/>
      <c r="D194" s="43"/>
      <c r="E194" s="46"/>
      <c r="F194" s="43"/>
      <c r="G194" s="26"/>
      <c r="H194" s="26"/>
    </row>
    <row r="195" spans="1:8" ht="16" customHeight="1">
      <c r="A195" s="27">
        <v>1</v>
      </c>
      <c r="B195" s="81" t="s">
        <v>360</v>
      </c>
      <c r="C195" s="29">
        <v>54</v>
      </c>
      <c r="D195" s="45" t="s">
        <v>174</v>
      </c>
      <c r="E195" s="31">
        <v>30800</v>
      </c>
      <c r="F195" s="47">
        <f>C195*E195</f>
        <v>1663200</v>
      </c>
      <c r="G195" s="33">
        <v>16500</v>
      </c>
      <c r="H195" s="33">
        <f>C195*G195</f>
        <v>891000</v>
      </c>
    </row>
    <row r="196" spans="1:8" ht="16" customHeight="1" thickBot="1">
      <c r="A196" s="27">
        <v>2</v>
      </c>
      <c r="B196" s="81" t="s">
        <v>361</v>
      </c>
      <c r="C196" s="29">
        <v>134</v>
      </c>
      <c r="D196" s="45" t="s">
        <v>174</v>
      </c>
      <c r="E196" s="31">
        <v>30800</v>
      </c>
      <c r="F196" s="47">
        <f>C196*E196</f>
        <v>4127200</v>
      </c>
      <c r="G196" s="33">
        <v>16500</v>
      </c>
      <c r="H196" s="33">
        <f>C196*G196</f>
        <v>2211000</v>
      </c>
    </row>
    <row r="197" spans="1:8" ht="16" customHeight="1" thickBot="1">
      <c r="A197" s="66"/>
      <c r="B197" s="37"/>
      <c r="C197" s="38"/>
      <c r="D197" s="38"/>
      <c r="E197" s="39" t="s">
        <v>362</v>
      </c>
      <c r="F197" s="40">
        <f>SUM(F195:F196)</f>
        <v>5790400</v>
      </c>
      <c r="G197" s="38" t="s">
        <v>363</v>
      </c>
      <c r="H197" s="41">
        <f>SUM(H195:H196)</f>
        <v>3102000</v>
      </c>
    </row>
    <row r="198" spans="1:8" ht="16" customHeight="1">
      <c r="A198" s="50" t="s">
        <v>237</v>
      </c>
      <c r="B198" s="83" t="s">
        <v>302</v>
      </c>
      <c r="C198" s="43"/>
      <c r="D198" s="43"/>
      <c r="E198" s="46"/>
      <c r="F198" s="43"/>
      <c r="G198" s="26"/>
      <c r="H198" s="26"/>
    </row>
    <row r="199" spans="1:8" ht="16" customHeight="1">
      <c r="A199" s="27">
        <v>1</v>
      </c>
      <c r="B199" s="81" t="s">
        <v>364</v>
      </c>
      <c r="C199" s="29">
        <v>2</v>
      </c>
      <c r="D199" s="45" t="s">
        <v>55</v>
      </c>
      <c r="E199" s="89">
        <v>1727000</v>
      </c>
      <c r="F199" s="47">
        <f t="shared" ref="F199:F204" si="17">C199*E199</f>
        <v>3454000</v>
      </c>
      <c r="G199" s="33">
        <v>440000</v>
      </c>
      <c r="H199" s="33">
        <f t="shared" ref="H199:H204" si="18">C199*G199</f>
        <v>880000</v>
      </c>
    </row>
    <row r="200" spans="1:8" ht="16" customHeight="1">
      <c r="A200" s="27">
        <v>2</v>
      </c>
      <c r="B200" s="81" t="s">
        <v>365</v>
      </c>
      <c r="C200" s="29">
        <v>96</v>
      </c>
      <c r="D200" s="45" t="s">
        <v>94</v>
      </c>
      <c r="E200" s="89">
        <v>240900</v>
      </c>
      <c r="F200" s="47">
        <f t="shared" si="17"/>
        <v>23126400</v>
      </c>
      <c r="G200" s="33">
        <v>49500</v>
      </c>
      <c r="H200" s="33">
        <f t="shared" si="18"/>
        <v>4752000</v>
      </c>
    </row>
    <row r="201" spans="1:8" ht="16" customHeight="1">
      <c r="A201" s="27">
        <v>3</v>
      </c>
      <c r="B201" s="81" t="s">
        <v>366</v>
      </c>
      <c r="C201" s="29">
        <v>1</v>
      </c>
      <c r="D201" s="45" t="s">
        <v>94</v>
      </c>
      <c r="E201" s="89">
        <v>792000</v>
      </c>
      <c r="F201" s="47">
        <f t="shared" si="17"/>
        <v>792000</v>
      </c>
      <c r="G201" s="33">
        <v>49500</v>
      </c>
      <c r="H201" s="33">
        <f t="shared" si="18"/>
        <v>49500</v>
      </c>
    </row>
    <row r="202" spans="1:8" ht="16" customHeight="1">
      <c r="A202" s="27">
        <v>4</v>
      </c>
      <c r="B202" s="81" t="s">
        <v>367</v>
      </c>
      <c r="C202" s="29">
        <v>51</v>
      </c>
      <c r="D202" s="45" t="s">
        <v>94</v>
      </c>
      <c r="E202" s="89">
        <v>148500</v>
      </c>
      <c r="F202" s="47">
        <f t="shared" si="17"/>
        <v>7573500</v>
      </c>
      <c r="G202" s="33">
        <v>49500</v>
      </c>
      <c r="H202" s="33">
        <f t="shared" si="18"/>
        <v>2524500</v>
      </c>
    </row>
    <row r="203" spans="1:8" ht="16" customHeight="1">
      <c r="A203" s="27">
        <v>5</v>
      </c>
      <c r="B203" s="81" t="s">
        <v>368</v>
      </c>
      <c r="C203" s="29">
        <v>148</v>
      </c>
      <c r="D203" s="45" t="s">
        <v>216</v>
      </c>
      <c r="E203" s="89">
        <v>212300</v>
      </c>
      <c r="F203" s="47">
        <f t="shared" si="17"/>
        <v>31420400</v>
      </c>
      <c r="G203" s="33">
        <v>116600</v>
      </c>
      <c r="H203" s="33">
        <f t="shared" si="18"/>
        <v>17256800</v>
      </c>
    </row>
    <row r="204" spans="1:8" ht="16" customHeight="1" thickBot="1">
      <c r="A204" s="27">
        <v>6</v>
      </c>
      <c r="B204" s="81" t="s">
        <v>337</v>
      </c>
      <c r="C204" s="29">
        <v>1</v>
      </c>
      <c r="D204" s="45" t="s">
        <v>338</v>
      </c>
      <c r="E204" s="89">
        <v>6636630</v>
      </c>
      <c r="F204" s="47">
        <f t="shared" si="17"/>
        <v>6636630</v>
      </c>
      <c r="G204" s="33"/>
      <c r="H204" s="33">
        <f t="shared" si="18"/>
        <v>0</v>
      </c>
    </row>
    <row r="205" spans="1:8" ht="16" customHeight="1" thickBot="1">
      <c r="A205" s="66"/>
      <c r="B205" s="37"/>
      <c r="C205" s="38"/>
      <c r="D205" s="38"/>
      <c r="E205" s="39" t="s">
        <v>369</v>
      </c>
      <c r="F205" s="40">
        <f>SUM(F199:F204)</f>
        <v>73002930</v>
      </c>
      <c r="G205" s="38" t="s">
        <v>370</v>
      </c>
      <c r="H205" s="41">
        <f>SUM(H199:H204)</f>
        <v>25462800</v>
      </c>
    </row>
    <row r="206" spans="1:8" ht="16" customHeight="1">
      <c r="A206" s="43"/>
      <c r="B206" s="82"/>
      <c r="C206" s="802"/>
      <c r="D206" s="803"/>
      <c r="E206" s="803"/>
      <c r="F206" s="803"/>
      <c r="G206" s="804"/>
      <c r="H206" s="16"/>
    </row>
    <row r="207" spans="1:8" ht="16" customHeight="1">
      <c r="A207" s="50" t="s">
        <v>371</v>
      </c>
      <c r="B207" s="83" t="s">
        <v>372</v>
      </c>
      <c r="C207" s="43"/>
      <c r="D207" s="43"/>
      <c r="E207" s="46"/>
      <c r="F207" s="43"/>
      <c r="G207" s="26"/>
      <c r="H207" s="26"/>
    </row>
    <row r="208" spans="1:8" ht="16" customHeight="1">
      <c r="A208" s="50" t="s">
        <v>31</v>
      </c>
      <c r="B208" s="83" t="s">
        <v>328</v>
      </c>
      <c r="C208" s="43"/>
      <c r="D208" s="43"/>
      <c r="E208" s="46"/>
      <c r="F208" s="43"/>
      <c r="G208" s="26"/>
      <c r="H208" s="26"/>
    </row>
    <row r="209" spans="1:8" ht="16" customHeight="1">
      <c r="A209" s="27">
        <v>1</v>
      </c>
      <c r="B209" s="81" t="s">
        <v>373</v>
      </c>
      <c r="C209" s="43"/>
      <c r="D209" s="43"/>
      <c r="E209" s="46"/>
      <c r="F209" s="43"/>
      <c r="G209" s="26"/>
      <c r="H209" s="26"/>
    </row>
    <row r="210" spans="1:8" ht="16" customHeight="1">
      <c r="A210" s="43"/>
      <c r="B210" s="81" t="s">
        <v>374</v>
      </c>
      <c r="C210" s="29">
        <v>54</v>
      </c>
      <c r="D210" s="45" t="s">
        <v>93</v>
      </c>
      <c r="E210" s="89">
        <v>10450</v>
      </c>
      <c r="F210" s="47">
        <f>C210*E210</f>
        <v>564300</v>
      </c>
      <c r="G210" s="33">
        <v>7700</v>
      </c>
      <c r="H210" s="33">
        <f>C210*G210</f>
        <v>415800</v>
      </c>
    </row>
    <row r="211" spans="1:8" ht="16" customHeight="1">
      <c r="A211" s="27">
        <v>2</v>
      </c>
      <c r="B211" s="84" t="s">
        <v>375</v>
      </c>
      <c r="C211" s="43"/>
      <c r="D211" s="43"/>
      <c r="E211" s="46"/>
      <c r="F211" s="47"/>
      <c r="G211" s="33"/>
      <c r="H211" s="33">
        <f>C211*G211</f>
        <v>0</v>
      </c>
    </row>
    <row r="212" spans="1:8" ht="16" customHeight="1" thickBot="1">
      <c r="A212" s="43"/>
      <c r="B212" s="81" t="s">
        <v>376</v>
      </c>
      <c r="C212" s="29">
        <v>54</v>
      </c>
      <c r="D212" s="45" t="s">
        <v>93</v>
      </c>
      <c r="E212" s="89">
        <v>10450</v>
      </c>
      <c r="F212" s="47">
        <f>C212*E212</f>
        <v>564300</v>
      </c>
      <c r="G212" s="33">
        <v>7700</v>
      </c>
      <c r="H212" s="33">
        <f>C212*G212</f>
        <v>415800</v>
      </c>
    </row>
    <row r="213" spans="1:8" ht="16" customHeight="1" thickBot="1">
      <c r="A213" s="66"/>
      <c r="B213" s="37"/>
      <c r="C213" s="38"/>
      <c r="D213" s="38"/>
      <c r="E213" s="39" t="s">
        <v>377</v>
      </c>
      <c r="F213" s="40">
        <f>SUM(F207:F212)</f>
        <v>1128600</v>
      </c>
      <c r="G213" s="38" t="s">
        <v>378</v>
      </c>
      <c r="H213" s="41">
        <f>SUM(H207:H212)</f>
        <v>831600</v>
      </c>
    </row>
    <row r="214" spans="1:8" ht="16" customHeight="1">
      <c r="A214" s="50" t="s">
        <v>237</v>
      </c>
      <c r="B214" s="83" t="s">
        <v>302</v>
      </c>
      <c r="C214" s="43"/>
      <c r="D214" s="43"/>
      <c r="E214" s="46"/>
      <c r="F214" s="43"/>
      <c r="G214" s="26"/>
      <c r="H214" s="26"/>
    </row>
    <row r="215" spans="1:8" ht="16" customHeight="1">
      <c r="A215" s="27">
        <v>1</v>
      </c>
      <c r="B215" s="81" t="s">
        <v>379</v>
      </c>
      <c r="C215" s="29">
        <v>1</v>
      </c>
      <c r="D215" s="45" t="s">
        <v>17</v>
      </c>
      <c r="E215" s="89">
        <v>1650000</v>
      </c>
      <c r="F215" s="47">
        <f>C215*E215</f>
        <v>1650000</v>
      </c>
      <c r="G215" s="33">
        <v>495000</v>
      </c>
      <c r="H215" s="33">
        <f t="shared" ref="H215:H228" si="19">C215*G215</f>
        <v>495000</v>
      </c>
    </row>
    <row r="216" spans="1:8" ht="16" customHeight="1">
      <c r="A216" s="43"/>
      <c r="B216" s="81" t="s">
        <v>380</v>
      </c>
      <c r="C216" s="29">
        <v>80</v>
      </c>
      <c r="D216" s="45" t="s">
        <v>174</v>
      </c>
      <c r="E216" s="56">
        <v>33000</v>
      </c>
      <c r="F216" s="47">
        <f t="shared" ref="F216:F227" si="20">C216*E216</f>
        <v>2640000</v>
      </c>
      <c r="G216" s="33">
        <v>22000</v>
      </c>
      <c r="H216" s="33">
        <f t="shared" si="19"/>
        <v>1760000</v>
      </c>
    </row>
    <row r="217" spans="1:8" ht="16" customHeight="1">
      <c r="A217" s="27">
        <v>2</v>
      </c>
      <c r="B217" s="81" t="s">
        <v>381</v>
      </c>
      <c r="C217" s="43"/>
      <c r="D217" s="43"/>
      <c r="E217" s="89"/>
      <c r="F217" s="47"/>
      <c r="G217" s="33"/>
      <c r="H217" s="33"/>
    </row>
    <row r="218" spans="1:8" ht="16" customHeight="1">
      <c r="A218" s="43"/>
      <c r="B218" s="81" t="s">
        <v>382</v>
      </c>
      <c r="C218" s="29">
        <v>12</v>
      </c>
      <c r="D218" s="45" t="s">
        <v>94</v>
      </c>
      <c r="E218" s="89">
        <v>407000</v>
      </c>
      <c r="F218" s="47">
        <f t="shared" si="20"/>
        <v>4884000</v>
      </c>
      <c r="G218" s="33">
        <v>27500</v>
      </c>
      <c r="H218" s="33">
        <f t="shared" si="19"/>
        <v>330000</v>
      </c>
    </row>
    <row r="219" spans="1:8" ht="16" customHeight="1">
      <c r="A219" s="43"/>
      <c r="B219" s="81" t="s">
        <v>383</v>
      </c>
      <c r="C219" s="29">
        <v>85</v>
      </c>
      <c r="D219" s="45" t="s">
        <v>94</v>
      </c>
      <c r="E219" s="89">
        <v>390500</v>
      </c>
      <c r="F219" s="47">
        <f t="shared" si="20"/>
        <v>33192500</v>
      </c>
      <c r="G219" s="33">
        <v>27500</v>
      </c>
      <c r="H219" s="33">
        <f t="shared" si="19"/>
        <v>2337500</v>
      </c>
    </row>
    <row r="220" spans="1:8" ht="16" customHeight="1">
      <c r="A220" s="43"/>
      <c r="B220" s="81" t="s">
        <v>384</v>
      </c>
      <c r="C220" s="29">
        <v>2</v>
      </c>
      <c r="D220" s="45" t="s">
        <v>94</v>
      </c>
      <c r="E220" s="89">
        <v>165000</v>
      </c>
      <c r="F220" s="47">
        <f t="shared" si="20"/>
        <v>330000</v>
      </c>
      <c r="G220" s="33">
        <v>27500</v>
      </c>
      <c r="H220" s="33">
        <f t="shared" si="19"/>
        <v>55000</v>
      </c>
    </row>
    <row r="221" spans="1:8" ht="16" customHeight="1">
      <c r="A221" s="43"/>
      <c r="B221" s="81" t="s">
        <v>385</v>
      </c>
      <c r="C221" s="29">
        <v>2</v>
      </c>
      <c r="D221" s="45" t="s">
        <v>94</v>
      </c>
      <c r="E221" s="89">
        <v>220000</v>
      </c>
      <c r="F221" s="47">
        <f t="shared" si="20"/>
        <v>440000</v>
      </c>
      <c r="G221" s="33">
        <v>27500</v>
      </c>
      <c r="H221" s="33">
        <f t="shared" si="19"/>
        <v>55000</v>
      </c>
    </row>
    <row r="222" spans="1:8" ht="16" customHeight="1">
      <c r="A222" s="43"/>
      <c r="B222" s="81" t="s">
        <v>386</v>
      </c>
      <c r="C222" s="29">
        <v>2</v>
      </c>
      <c r="D222" s="45" t="s">
        <v>94</v>
      </c>
      <c r="E222" s="89">
        <v>390500</v>
      </c>
      <c r="F222" s="47">
        <f t="shared" si="20"/>
        <v>781000</v>
      </c>
      <c r="G222" s="33">
        <v>27500</v>
      </c>
      <c r="H222" s="33">
        <f t="shared" si="19"/>
        <v>55000</v>
      </c>
    </row>
    <row r="223" spans="1:8" ht="16" customHeight="1">
      <c r="A223" s="43"/>
      <c r="B223" s="81" t="s">
        <v>387</v>
      </c>
      <c r="C223" s="29">
        <v>2</v>
      </c>
      <c r="D223" s="45" t="s">
        <v>94</v>
      </c>
      <c r="E223" s="89">
        <v>55000</v>
      </c>
      <c r="F223" s="47">
        <f t="shared" si="20"/>
        <v>110000</v>
      </c>
      <c r="G223" s="33">
        <v>27500</v>
      </c>
      <c r="H223" s="33">
        <f t="shared" si="19"/>
        <v>55000</v>
      </c>
    </row>
    <row r="224" spans="1:8" ht="16" customHeight="1">
      <c r="A224" s="43"/>
      <c r="B224" s="81" t="s">
        <v>388</v>
      </c>
      <c r="C224" s="29">
        <v>97</v>
      </c>
      <c r="D224" s="45" t="s">
        <v>216</v>
      </c>
      <c r="E224" s="89">
        <v>275000</v>
      </c>
      <c r="F224" s="47">
        <f t="shared" si="20"/>
        <v>26675000</v>
      </c>
      <c r="G224" s="33">
        <v>77000</v>
      </c>
      <c r="H224" s="33">
        <f t="shared" si="19"/>
        <v>7469000</v>
      </c>
    </row>
    <row r="225" spans="1:8" ht="16" customHeight="1">
      <c r="A225" s="43"/>
      <c r="B225" s="81" t="s">
        <v>389</v>
      </c>
      <c r="C225" s="29">
        <v>2</v>
      </c>
      <c r="D225" s="45" t="s">
        <v>216</v>
      </c>
      <c r="E225" s="89">
        <v>275000</v>
      </c>
      <c r="F225" s="47">
        <f t="shared" si="20"/>
        <v>550000</v>
      </c>
      <c r="G225" s="33">
        <v>77000</v>
      </c>
      <c r="H225" s="33">
        <f t="shared" si="19"/>
        <v>154000</v>
      </c>
    </row>
    <row r="226" spans="1:8" ht="16" customHeight="1">
      <c r="A226" s="43"/>
      <c r="B226" s="81" t="s">
        <v>390</v>
      </c>
      <c r="C226" s="29">
        <v>2</v>
      </c>
      <c r="D226" s="45" t="s">
        <v>216</v>
      </c>
      <c r="E226" s="89">
        <v>275000</v>
      </c>
      <c r="F226" s="47">
        <f t="shared" si="20"/>
        <v>550000</v>
      </c>
      <c r="G226" s="33">
        <v>77000</v>
      </c>
      <c r="H226" s="33">
        <f t="shared" si="19"/>
        <v>154000</v>
      </c>
    </row>
    <row r="227" spans="1:8" ht="16" customHeight="1">
      <c r="A227" s="43"/>
      <c r="B227" s="81" t="s">
        <v>391</v>
      </c>
      <c r="C227" s="29">
        <v>2</v>
      </c>
      <c r="D227" s="45" t="s">
        <v>216</v>
      </c>
      <c r="E227" s="89">
        <v>275000</v>
      </c>
      <c r="F227" s="47">
        <f t="shared" si="20"/>
        <v>550000</v>
      </c>
      <c r="G227" s="33">
        <v>77000</v>
      </c>
      <c r="H227" s="33">
        <f t="shared" si="19"/>
        <v>154000</v>
      </c>
    </row>
    <row r="228" spans="1:8" ht="16" customHeight="1" thickBot="1">
      <c r="A228" s="27">
        <v>3</v>
      </c>
      <c r="B228" s="81" t="s">
        <v>392</v>
      </c>
      <c r="C228" s="29">
        <v>1</v>
      </c>
      <c r="D228" s="45" t="s">
        <v>338</v>
      </c>
      <c r="E228" s="49">
        <v>7235250</v>
      </c>
      <c r="F228" s="47">
        <f>C228*E228</f>
        <v>7235250</v>
      </c>
      <c r="G228" s="33"/>
      <c r="H228" s="33">
        <f t="shared" si="19"/>
        <v>0</v>
      </c>
    </row>
    <row r="229" spans="1:8" ht="16" customHeight="1" thickBot="1">
      <c r="A229" s="66"/>
      <c r="B229" s="37"/>
      <c r="C229" s="38"/>
      <c r="D229" s="38"/>
      <c r="E229" s="39" t="s">
        <v>393</v>
      </c>
      <c r="F229" s="40">
        <f>SUM(F215:F228)</f>
        <v>79587750</v>
      </c>
      <c r="G229" s="38" t="s">
        <v>394</v>
      </c>
      <c r="H229" s="41">
        <f>SUM(H215:H228)</f>
        <v>13073500</v>
      </c>
    </row>
    <row r="230" spans="1:8" ht="16" customHeight="1">
      <c r="A230" s="43"/>
      <c r="B230" s="82"/>
      <c r="C230" s="46"/>
      <c r="D230" s="811"/>
      <c r="E230" s="812"/>
      <c r="F230" s="812"/>
      <c r="G230" s="813"/>
      <c r="H230" s="26"/>
    </row>
    <row r="231" spans="1:8" ht="16" customHeight="1">
      <c r="A231" s="43"/>
      <c r="B231" s="82"/>
      <c r="C231" s="802"/>
      <c r="D231" s="803"/>
      <c r="E231" s="803"/>
      <c r="F231" s="803"/>
      <c r="G231" s="804"/>
      <c r="H231" s="16"/>
    </row>
    <row r="232" spans="1:8" ht="16" customHeight="1">
      <c r="A232" s="50" t="s">
        <v>33</v>
      </c>
      <c r="B232" s="83" t="s">
        <v>395</v>
      </c>
      <c r="C232" s="43"/>
      <c r="D232" s="43"/>
      <c r="E232" s="46"/>
      <c r="F232" s="43"/>
      <c r="G232" s="26"/>
      <c r="H232" s="26"/>
    </row>
    <row r="233" spans="1:8" ht="16" customHeight="1">
      <c r="A233" s="50" t="s">
        <v>31</v>
      </c>
      <c r="B233" s="83" t="s">
        <v>328</v>
      </c>
      <c r="C233" s="43"/>
      <c r="D233" s="43"/>
      <c r="E233" s="46"/>
      <c r="F233" s="43"/>
      <c r="G233" s="26"/>
      <c r="H233" s="26"/>
    </row>
    <row r="234" spans="1:8" ht="16" customHeight="1">
      <c r="A234" s="27">
        <v>1</v>
      </c>
      <c r="B234" s="81" t="s">
        <v>396</v>
      </c>
      <c r="C234" s="29">
        <v>14</v>
      </c>
      <c r="D234" s="45" t="s">
        <v>216</v>
      </c>
      <c r="E234" s="89">
        <v>345510</v>
      </c>
      <c r="F234" s="47">
        <f>C234*E234</f>
        <v>4837140</v>
      </c>
      <c r="G234" s="33">
        <v>165000</v>
      </c>
      <c r="H234" s="33">
        <f>C234*G234</f>
        <v>2310000</v>
      </c>
    </row>
    <row r="235" spans="1:8" ht="16" customHeight="1">
      <c r="A235" s="43"/>
      <c r="B235" s="81" t="s">
        <v>397</v>
      </c>
      <c r="C235" s="43"/>
      <c r="D235" s="43"/>
      <c r="E235" s="46"/>
      <c r="F235" s="47">
        <f>C235*E235</f>
        <v>0</v>
      </c>
      <c r="G235" s="33"/>
      <c r="H235" s="33">
        <f>C235*G235</f>
        <v>0</v>
      </c>
    </row>
    <row r="236" spans="1:8" ht="16" customHeight="1">
      <c r="A236" s="27">
        <v>2</v>
      </c>
      <c r="B236" s="81" t="s">
        <v>398</v>
      </c>
      <c r="C236" s="29">
        <v>14</v>
      </c>
      <c r="D236" s="45" t="s">
        <v>216</v>
      </c>
      <c r="E236" s="56">
        <v>242000</v>
      </c>
      <c r="F236" s="47">
        <f>C236*E236</f>
        <v>3388000</v>
      </c>
      <c r="G236" s="33">
        <v>66000</v>
      </c>
      <c r="H236" s="33">
        <f>C236*G236</f>
        <v>924000</v>
      </c>
    </row>
    <row r="237" spans="1:8" ht="16" customHeight="1" thickBot="1">
      <c r="A237" s="43"/>
      <c r="B237" s="81" t="s">
        <v>399</v>
      </c>
      <c r="C237" s="43"/>
      <c r="D237" s="43"/>
      <c r="E237" s="46"/>
      <c r="F237" s="43"/>
      <c r="G237" s="26"/>
      <c r="H237" s="26"/>
    </row>
    <row r="238" spans="1:8" ht="16" customHeight="1" thickBot="1">
      <c r="A238" s="66"/>
      <c r="B238" s="37"/>
      <c r="C238" s="38"/>
      <c r="D238" s="38"/>
      <c r="E238" s="39" t="s">
        <v>400</v>
      </c>
      <c r="F238" s="40">
        <f>SUM(F234:F237)</f>
        <v>8225140</v>
      </c>
      <c r="G238" s="38" t="s">
        <v>401</v>
      </c>
      <c r="H238" s="41">
        <f>SUM(H234:H237)</f>
        <v>3234000</v>
      </c>
    </row>
    <row r="239" spans="1:8" ht="16" customHeight="1">
      <c r="A239" s="50" t="s">
        <v>237</v>
      </c>
      <c r="B239" s="83" t="s">
        <v>302</v>
      </c>
      <c r="C239" s="43"/>
      <c r="D239" s="43"/>
      <c r="E239" s="46"/>
      <c r="F239" s="43"/>
      <c r="G239" s="26"/>
      <c r="H239" s="26"/>
    </row>
    <row r="240" spans="1:8" ht="16" customHeight="1">
      <c r="A240" s="27">
        <v>1</v>
      </c>
      <c r="B240" s="81" t="s">
        <v>402</v>
      </c>
      <c r="C240" s="29">
        <v>13</v>
      </c>
      <c r="D240" s="45" t="s">
        <v>94</v>
      </c>
      <c r="E240" s="89">
        <v>566500</v>
      </c>
      <c r="F240" s="47">
        <f>C240*E240</f>
        <v>7364500</v>
      </c>
      <c r="G240" s="33">
        <v>28600</v>
      </c>
      <c r="H240" s="33">
        <f>C240*G240</f>
        <v>371800</v>
      </c>
    </row>
    <row r="241" spans="1:8" ht="16" customHeight="1">
      <c r="A241" s="27">
        <v>2</v>
      </c>
      <c r="B241" s="81" t="s">
        <v>403</v>
      </c>
      <c r="C241" s="29">
        <v>1</v>
      </c>
      <c r="D241" s="45" t="s">
        <v>94</v>
      </c>
      <c r="E241" s="89">
        <v>786500</v>
      </c>
      <c r="F241" s="47">
        <f>C241*E241</f>
        <v>786500</v>
      </c>
      <c r="G241" s="33">
        <v>28600</v>
      </c>
      <c r="H241" s="33">
        <f>C241*G241</f>
        <v>28600</v>
      </c>
    </row>
    <row r="242" spans="1:8" ht="16" customHeight="1" thickBot="1">
      <c r="A242" s="27">
        <v>3</v>
      </c>
      <c r="B242" s="81" t="s">
        <v>392</v>
      </c>
      <c r="C242" s="29">
        <v>1</v>
      </c>
      <c r="D242" s="45" t="s">
        <v>338</v>
      </c>
      <c r="E242" s="49">
        <v>1000000</v>
      </c>
      <c r="F242" s="47">
        <f>E242</f>
        <v>1000000</v>
      </c>
      <c r="G242" s="33"/>
      <c r="H242" s="33">
        <f>C242*G242</f>
        <v>0</v>
      </c>
    </row>
    <row r="243" spans="1:8" ht="16" customHeight="1" thickBot="1">
      <c r="A243" s="66"/>
      <c r="B243" s="37"/>
      <c r="C243" s="38"/>
      <c r="D243" s="38"/>
      <c r="E243" s="39" t="s">
        <v>404</v>
      </c>
      <c r="F243" s="40">
        <f>SUM(F239:F242)</f>
        <v>9151000</v>
      </c>
      <c r="G243" s="38" t="s">
        <v>405</v>
      </c>
      <c r="H243" s="41">
        <f>SUM(H239:H242)</f>
        <v>400400</v>
      </c>
    </row>
    <row r="244" spans="1:8" ht="16" customHeight="1" thickBot="1">
      <c r="A244" s="43"/>
      <c r="B244" s="82"/>
      <c r="C244" s="802"/>
      <c r="D244" s="803"/>
      <c r="E244" s="803"/>
      <c r="F244" s="803"/>
      <c r="G244" s="804"/>
      <c r="H244" s="16"/>
    </row>
    <row r="245" spans="1:8" ht="39" customHeight="1" thickBot="1">
      <c r="A245" s="90"/>
      <c r="B245" s="91"/>
      <c r="C245" s="92"/>
      <c r="D245" s="92"/>
      <c r="E245" s="93" t="s">
        <v>406</v>
      </c>
      <c r="F245" s="94" t="e">
        <f>#REF!+#REF!+#REF!+#REF!+#REF!+#REF!+#REF!+F26+F47+F65+F73+F92+F104+F111+F123+F135+F159+F165+F172+F184+F191+F197+F205+F213+F229+F238+F243</f>
        <v>#REF!</v>
      </c>
      <c r="G245" s="95" t="s">
        <v>407</v>
      </c>
      <c r="H245" s="96" t="e">
        <f>#REF!+#REF!+#REF!+#REF!+#REF!+#REF!+#REF!+H26+H47+H65+H73+H92+H104+H111+H123+H135+H159+H165+H172+H184+H191+H197+H205+H213+H229+H238+H243</f>
        <v>#REF!</v>
      </c>
    </row>
    <row r="246" spans="1:8" ht="16" customHeight="1">
      <c r="A246" s="802"/>
      <c r="B246" s="803"/>
      <c r="C246" s="803"/>
      <c r="D246" s="803"/>
      <c r="E246" s="803"/>
      <c r="F246" s="803"/>
      <c r="G246" s="804"/>
      <c r="H246" s="16"/>
    </row>
    <row r="247" spans="1:8" ht="16" customHeight="1">
      <c r="A247" s="810"/>
      <c r="B247" s="810"/>
      <c r="C247" s="810"/>
      <c r="D247" s="810"/>
      <c r="E247" s="810"/>
      <c r="F247" s="810"/>
      <c r="G247" s="810"/>
      <c r="H247" s="810"/>
    </row>
  </sheetData>
  <mergeCells count="14">
    <mergeCell ref="A246:G246"/>
    <mergeCell ref="A247:H247"/>
    <mergeCell ref="C173:G173"/>
    <mergeCell ref="C192:G192"/>
    <mergeCell ref="C206:G206"/>
    <mergeCell ref="D230:G230"/>
    <mergeCell ref="C231:G231"/>
    <mergeCell ref="C244:G244"/>
    <mergeCell ref="C160:G160"/>
    <mergeCell ref="A1:H1"/>
    <mergeCell ref="A2:H2"/>
    <mergeCell ref="A3:H3"/>
    <mergeCell ref="A4:H4"/>
    <mergeCell ref="C93:G93"/>
  </mergeCells>
  <pageMargins left="0.7" right="0.7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REKAP BOQ</vt:lpstr>
      <vt:lpstr>BQ ARSITEKTUR &amp; STRUKTUR</vt:lpstr>
      <vt:lpstr>BQ ELEKTRIKAL</vt:lpstr>
      <vt:lpstr>BQ PLUMBING HYDRANT DAN TATA S</vt:lpstr>
      <vt:lpstr>VAC</vt:lpstr>
      <vt:lpstr>'BQ ARSITEKTUR &amp; STRUKTUR'!Print_Area</vt:lpstr>
      <vt:lpstr>'BQ ELEKTRIKAL'!Print_Area</vt:lpstr>
      <vt:lpstr>'BQ PLUMBING HYDRANT DAN TATA S'!Print_Area</vt:lpstr>
      <vt:lpstr>'REKAP BOQ'!Print_Area</vt:lpstr>
      <vt:lpstr>'BQ ARSITEKTUR &amp; STRUKTUR'!Print_Titles</vt:lpstr>
      <vt:lpstr>'BQ ELEKTRIKAL'!Print_Titles</vt:lpstr>
      <vt:lpstr>'BQ PLUMBING HYDRANT DAN TATA 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Satrio Bagus Wibowo</cp:lastModifiedBy>
  <cp:lastPrinted>2022-04-14T03:55:52Z</cp:lastPrinted>
  <dcterms:created xsi:type="dcterms:W3CDTF">2020-01-10T21:14:11Z</dcterms:created>
  <dcterms:modified xsi:type="dcterms:W3CDTF">2022-05-23T11:10:06Z</dcterms:modified>
</cp:coreProperties>
</file>